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firstSheet="5" activeTab="13"/>
  </bookViews>
  <sheets>
    <sheet name="封面2022ys" sheetId="1" r:id="rId1"/>
    <sheet name="目录2022ys" sheetId="2" r:id="rId2"/>
    <sheet name="2022ys01" sheetId="3" r:id="rId3"/>
    <sheet name="2022ys02" sheetId="4" r:id="rId4"/>
    <sheet name="2022ys03" sheetId="5" r:id="rId5"/>
    <sheet name="2022ys04" sheetId="6" r:id="rId6"/>
    <sheet name="2022ys05" sheetId="7" r:id="rId7"/>
    <sheet name="2022ys06" sheetId="8" r:id="rId8"/>
    <sheet name="2022ys07" sheetId="9" r:id="rId9"/>
    <sheet name="2022ys08" sheetId="10" r:id="rId10"/>
    <sheet name="2022ys09" sheetId="11" r:id="rId11"/>
    <sheet name="2022ys10" sheetId="12" r:id="rId12"/>
    <sheet name="2022ys11" sheetId="13" r:id="rId13"/>
    <sheet name="2022ys12" sheetId="14" r:id="rId14"/>
    <sheet name="2022ys13" sheetId="15" r:id="rId15"/>
    <sheet name="2022ys14" sheetId="16" r:id="rId16"/>
    <sheet name="2022ys15" sheetId="17" r:id="rId17"/>
    <sheet name="2022ys16" sheetId="18" r:id="rId18"/>
    <sheet name="2022ys17" sheetId="19" r:id="rId19"/>
    <sheet name="2022ys18" sheetId="20" r:id="rId20"/>
    <sheet name="2022ys19" sheetId="21" r:id="rId21"/>
    <sheet name="2022ys20" sheetId="22" r:id="rId22"/>
    <sheet name="2022ys21" sheetId="23" r:id="rId23"/>
  </sheets>
  <calcPr calcId="144525"/>
</workbook>
</file>

<file path=xl/sharedStrings.xml><?xml version="1.0" encoding="utf-8"?>
<sst xmlns="http://schemas.openxmlformats.org/spreadsheetml/2006/main" count="1536" uniqueCount="466">
  <si>
    <t>2 0 2 2 年 度 医 疗 保 险 基 金 预 算 表</t>
  </si>
  <si>
    <t>编制单位：</t>
  </si>
  <si>
    <t>单位负责人：</t>
  </si>
  <si>
    <t>财务负责人：</t>
  </si>
  <si>
    <t>制表人：</t>
  </si>
  <si>
    <t>报出时间：</t>
  </si>
  <si>
    <t>国家医保局 印 制</t>
  </si>
  <si>
    <t>2021 年    月</t>
  </si>
  <si>
    <t>目     录</t>
  </si>
  <si>
    <t xml:space="preserve">    一、医疗保险基金预算表………………………………………………………………………………………</t>
  </si>
  <si>
    <t>医预 01 表</t>
  </si>
  <si>
    <t xml:space="preserve">    二、医疗保险收支总表  ………………………………………………………………………………………</t>
  </si>
  <si>
    <t>医预 02 表</t>
  </si>
  <si>
    <t xml:space="preserve">    三、医疗收入因素表……………………………………………………………………………………………</t>
  </si>
  <si>
    <t>医预 03 表</t>
  </si>
  <si>
    <t xml:space="preserve">    四、医疗统账结合预算收入参数表……………………………………………………………………………</t>
  </si>
  <si>
    <t>医预 04 表</t>
  </si>
  <si>
    <t xml:space="preserve">    五、医疗单建统筹预算收入参数表……………………………………………………………………………</t>
  </si>
  <si>
    <t>医预 05 表</t>
  </si>
  <si>
    <t xml:space="preserve">    六、医疗统账结合支出因素表…………………………………………………………………………………</t>
  </si>
  <si>
    <t>医预 06 表</t>
  </si>
  <si>
    <t xml:space="preserve">    七、医疗统账结合支出参数表 ………………………………………………………………………………</t>
  </si>
  <si>
    <t>医预 07 表</t>
  </si>
  <si>
    <t xml:space="preserve">    八、医疗单建支出因素表 ……………………………………………………………………………………</t>
  </si>
  <si>
    <t>医预 08 表</t>
  </si>
  <si>
    <t xml:space="preserve">    九、医疗单建支出参数表 ……………………………………………………………………………………</t>
  </si>
  <si>
    <t>医预 09 表</t>
  </si>
  <si>
    <t xml:space="preserve">    十、医疗平衡表 ………………………………………………………………………………………………</t>
  </si>
  <si>
    <t>医预 10 表</t>
  </si>
  <si>
    <t xml:space="preserve">  十一、医疗调整表…………………………………………………………………………………………………</t>
  </si>
  <si>
    <t>医预 11 表</t>
  </si>
  <si>
    <t xml:space="preserve">  十二、居民医疗收支总表…………………………………………………………………………………………</t>
  </si>
  <si>
    <t>医预 12 表</t>
  </si>
  <si>
    <t xml:space="preserve">  十三、居民医疗收入因素表………………………………………………………………………………………</t>
  </si>
  <si>
    <t>医预 13 表</t>
  </si>
  <si>
    <t xml:space="preserve">  十四、居民医疗收入参数表 ……………………………………………………………………………………</t>
  </si>
  <si>
    <t>医预 14 表</t>
  </si>
  <si>
    <t xml:space="preserve">  十五、居民医疗支出因素表………………………………………………………………………………………</t>
  </si>
  <si>
    <t>医预 15 表</t>
  </si>
  <si>
    <t xml:space="preserve">  十六、居民医疗支出参数表………………………………………………………………………………………</t>
  </si>
  <si>
    <t>医预 16 表</t>
  </si>
  <si>
    <t xml:space="preserve">  十七、居民医疗平衡表……………………………………………………………………………………………</t>
  </si>
  <si>
    <t>医预 17 表</t>
  </si>
  <si>
    <t xml:space="preserve">  十八、居民医疗调整表……………………………………………………………………………………………</t>
  </si>
  <si>
    <t>医预 18 表</t>
  </si>
  <si>
    <t xml:space="preserve">  十九、生育支出因素表……………………………………………………………………………………………</t>
  </si>
  <si>
    <t>医预 19 表</t>
  </si>
  <si>
    <t xml:space="preserve">  二十、生育支出参数表 …………………………………………………………………………………………</t>
  </si>
  <si>
    <t>医预 20 表</t>
  </si>
  <si>
    <t>二十一、生育支出参数表 …………………………………………………………………………………………</t>
  </si>
  <si>
    <t>医预 补1表</t>
  </si>
  <si>
    <t>2022年医疗保险基金预算表</t>
  </si>
  <si>
    <t>金寨县医疗保险管理中心</t>
  </si>
  <si>
    <t>2022年</t>
  </si>
  <si>
    <t>单位: 元</t>
  </si>
  <si>
    <t>项    目</t>
  </si>
  <si>
    <t>合计</t>
  </si>
  <si>
    <t>职工基本医疗保险基金</t>
  </si>
  <si>
    <t>居民基本医疗保险基金</t>
  </si>
  <si>
    <t>一、收入</t>
  </si>
  <si>
    <t>其中：1、保险费收入</t>
  </si>
  <si>
    <t xml:space="preserve">      2、利息收入</t>
  </si>
  <si>
    <t xml:space="preserve">      3、财政补贴收入</t>
  </si>
  <si>
    <t xml:space="preserve">      4、其他收入</t>
  </si>
  <si>
    <t xml:space="preserve">      5、转移收入</t>
  </si>
  <si>
    <t>--</t>
  </si>
  <si>
    <t>二、支出</t>
  </si>
  <si>
    <t>其中：1、待遇支出</t>
  </si>
  <si>
    <t xml:space="preserve">      2、其他支出</t>
  </si>
  <si>
    <t xml:space="preserve">      3、转移支出</t>
  </si>
  <si>
    <t>三、本年收支结余</t>
  </si>
  <si>
    <t>四、年末滚存结余</t>
  </si>
  <si>
    <t>2022年职工基本医疗保险（含生育保险）基金预算表</t>
  </si>
  <si>
    <t>医预02表</t>
  </si>
  <si>
    <t>单位：元</t>
  </si>
  <si>
    <t>2021年预计执行数</t>
  </si>
  <si>
    <t>2022年预算数</t>
  </si>
  <si>
    <t>小计</t>
  </si>
  <si>
    <t>基本医疗保险统筹基金（含单建）</t>
  </si>
  <si>
    <t>医疗保险个人账户基金</t>
  </si>
  <si>
    <t>一、基本医疗保险费收入</t>
  </si>
  <si>
    <t>其中：单位缴费</t>
  </si>
  <si>
    <t xml:space="preserve">      个人缴费</t>
  </si>
  <si>
    <t>二、财政补贴收入</t>
  </si>
  <si>
    <t>三、利息收入</t>
  </si>
  <si>
    <t>四、转移收入</t>
  </si>
  <si>
    <t>五、其他收入</t>
  </si>
  <si>
    <t>其中：滞纳金</t>
  </si>
  <si>
    <t>六、本年收入小计</t>
  </si>
  <si>
    <t>七、上级补助收入</t>
  </si>
  <si>
    <t>八、下级上解收入</t>
  </si>
  <si>
    <t>九、本年收入合计</t>
  </si>
  <si>
    <t>十、上年结余</t>
  </si>
  <si>
    <t>总      计</t>
  </si>
  <si>
    <t>一、基本医疗保险待遇支出</t>
  </si>
  <si>
    <t xml:space="preserve">  其中：1.住院费用支出</t>
  </si>
  <si>
    <t>　　  　2.门诊费用支出</t>
  </si>
  <si>
    <t xml:space="preserve">         3.生育医疗费用支出</t>
  </si>
  <si>
    <t xml:space="preserve">        4.生育津贴支出</t>
  </si>
  <si>
    <t>二、转移支出</t>
  </si>
  <si>
    <t>三、其他支出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</si>
  <si>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</si>
  <si>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</si>
  <si>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</si>
  <si>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</si>
  <si>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</si>
  <si>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</si>
  <si>
    <t>2021年参保和缴费人数预计执行数测算表</t>
  </si>
  <si>
    <t>单位：人</t>
  </si>
  <si>
    <t>项  目</t>
  </si>
  <si>
    <t>单位</t>
  </si>
  <si>
    <t>2020年
执行数</t>
  </si>
  <si>
    <t>2021年</t>
  </si>
  <si>
    <t>三季度</t>
  </si>
  <si>
    <t>第四季度新增人数测算数</t>
  </si>
  <si>
    <t>修正值</t>
  </si>
  <si>
    <t>第四季度预计新增人数</t>
  </si>
  <si>
    <t>预计全年执行数</t>
  </si>
  <si>
    <t>预算数</t>
  </si>
  <si>
    <t>预算调整数</t>
  </si>
  <si>
    <t>参保人数</t>
  </si>
  <si>
    <t>人</t>
  </si>
  <si>
    <t>统帐结合</t>
  </si>
  <si>
    <t>在职</t>
  </si>
  <si>
    <t>期末数</t>
  </si>
  <si>
    <t>平均数</t>
  </si>
  <si>
    <t>退休</t>
  </si>
  <si>
    <t>单建统筹</t>
  </si>
  <si>
    <t>缴费人数</t>
  </si>
  <si>
    <t>缴费人数占参保人数比例</t>
  </si>
  <si>
    <t>%</t>
  </si>
  <si>
    <t>2021年缴费工资总额预计执行数测算表</t>
  </si>
  <si>
    <t>2018年</t>
  </si>
  <si>
    <t>2019年</t>
  </si>
  <si>
    <t>2020年</t>
  </si>
  <si>
    <t>前三季度</t>
  </si>
  <si>
    <t>全年执行数</t>
  </si>
  <si>
    <t>前三季度占全年比例</t>
  </si>
  <si>
    <t>近年前三季度占全年平均比例测算数</t>
  </si>
  <si>
    <t>前三季度占全年比例预计数</t>
  </si>
  <si>
    <t>缴费工资总额</t>
  </si>
  <si>
    <t>统账结合缴费工资总额</t>
  </si>
  <si>
    <t>#单位</t>
  </si>
  <si>
    <t>元</t>
  </si>
  <si>
    <t>#个人</t>
  </si>
  <si>
    <t>单建统筹缴费工资总额</t>
  </si>
  <si>
    <t>2022年城镇职工基本医疗保险统账结合收入预算参数表</t>
  </si>
  <si>
    <t>编制单位 ：</t>
  </si>
  <si>
    <t>项目</t>
  </si>
  <si>
    <t>2018年执行数</t>
  </si>
  <si>
    <t>2020年执行数</t>
  </si>
  <si>
    <t>短期增长趋势</t>
  </si>
  <si>
    <t>中期增长趋势</t>
  </si>
  <si>
    <t>预算综合增长率</t>
  </si>
  <si>
    <t>同比增长率%</t>
  </si>
  <si>
    <t>权重</t>
  </si>
  <si>
    <t>近3年平均增长率%</t>
  </si>
  <si>
    <t>测算数</t>
  </si>
  <si>
    <t>修正后综合增长率</t>
  </si>
  <si>
    <t>同比增加额</t>
  </si>
  <si>
    <t>一、参考指标</t>
  </si>
  <si>
    <t>1.参保人数</t>
  </si>
  <si>
    <t>#在职</t>
  </si>
  <si>
    <t>#退休</t>
  </si>
  <si>
    <t>2.平均缴费人数</t>
  </si>
  <si>
    <t>3.上年月在岗平均工资</t>
  </si>
  <si>
    <t>元/月</t>
  </si>
  <si>
    <t>4.人均月缴费工资</t>
  </si>
  <si>
    <t>5.缴费工资占在岗工资比例</t>
  </si>
  <si>
    <t>二、测算指标</t>
  </si>
  <si>
    <t>缴费基数总额</t>
  </si>
  <si>
    <t xml:space="preserve">  #单位</t>
  </si>
  <si>
    <t xml:space="preserve">  #个人</t>
  </si>
  <si>
    <t>缴费比例</t>
  </si>
  <si>
    <t>缴费基数总额*缴费比例</t>
  </si>
  <si>
    <t>收缴率</t>
  </si>
  <si>
    <t>单位缴纳划入个人账户比例</t>
  </si>
  <si>
    <t>基本医疗保险费收入</t>
  </si>
  <si>
    <t>本期征缴收入</t>
  </si>
  <si>
    <t>统筹基金</t>
  </si>
  <si>
    <t>个人账户</t>
  </si>
  <si>
    <t>清欠收入</t>
  </si>
  <si>
    <t>预缴收入</t>
  </si>
  <si>
    <t>补缴收入</t>
  </si>
  <si>
    <t>其他征缴收入</t>
  </si>
  <si>
    <t xml:space="preserve"> 2022年城镇职工基本医疗保险单建统筹基金收入预算参数表</t>
  </si>
  <si>
    <t>医预05表</t>
  </si>
  <si>
    <t>项     目</t>
  </si>
  <si>
    <t>2021年执行数</t>
  </si>
  <si>
    <t xml:space="preserve">  #在职</t>
  </si>
  <si>
    <t xml:space="preserve">  #退休</t>
  </si>
  <si>
    <t>1.缴费基数总额</t>
  </si>
  <si>
    <t>2.缴费费率</t>
  </si>
  <si>
    <t>3.应缴收入</t>
  </si>
  <si>
    <t>4.收缴率</t>
  </si>
  <si>
    <t>三、基本医疗保险费收入</t>
  </si>
  <si>
    <t>1.本期征缴收入</t>
  </si>
  <si>
    <t>2.清欠收入</t>
  </si>
  <si>
    <t>3.预缴收入</t>
  </si>
  <si>
    <t>4.补缴收入</t>
  </si>
  <si>
    <t>5.其他征缴收入</t>
  </si>
  <si>
    <t>小  计</t>
  </si>
  <si>
    <t>2021年医保统账结合住院和门诊有关指标预计执行数测算表</t>
  </si>
  <si>
    <t>单位：元、人次</t>
  </si>
  <si>
    <t>一、住院情况</t>
  </si>
  <si>
    <t>（一）出院人次</t>
  </si>
  <si>
    <t>人次</t>
  </si>
  <si>
    <t>（二）住院总费用</t>
  </si>
  <si>
    <t>其中：1.统筹基金支付金额</t>
  </si>
  <si>
    <t xml:space="preserve">     2.个人账户支付金额</t>
  </si>
  <si>
    <t>二、门诊情况</t>
  </si>
  <si>
    <t>（一）普通门急诊</t>
  </si>
  <si>
    <t>1.门急诊人次</t>
  </si>
  <si>
    <t>2.门诊总费用</t>
  </si>
  <si>
    <t>其中：(1)统筹基金支付金额</t>
  </si>
  <si>
    <t xml:space="preserve">      (2)个人账户支付金额</t>
  </si>
  <si>
    <t>（二）门诊大病</t>
  </si>
  <si>
    <t>1.门诊大病人次</t>
  </si>
  <si>
    <t>2.门诊大病总费用</t>
  </si>
  <si>
    <t xml:space="preserve">    (2)个人账户支付金额</t>
  </si>
  <si>
    <t>三、定点零售药店及其他个人账户支付情况</t>
  </si>
  <si>
    <t>（一）定点零售药店情况</t>
  </si>
  <si>
    <t>1.定点药店购药人次</t>
  </si>
  <si>
    <t>2.定点药店购药总费用</t>
  </si>
  <si>
    <t>其中：个人账户支付金额</t>
  </si>
  <si>
    <t>（二）其他个人账户支付情况</t>
  </si>
  <si>
    <t>2022年城镇职工基本医疗保险统账结合待遇支出预算参数表</t>
  </si>
  <si>
    <t>（一）住院率（出院人次/平均参保人数）</t>
  </si>
  <si>
    <t>（二）出院人次</t>
  </si>
  <si>
    <t>（三）次（人）均住院费用</t>
  </si>
  <si>
    <t>（四）住院总费用</t>
  </si>
  <si>
    <t xml:space="preserve">    2.统筹基金支付比例（统筹基金/住院总费用）</t>
  </si>
  <si>
    <t xml:space="preserve">    3.个人账户支付金额</t>
  </si>
  <si>
    <t xml:space="preserve">    4.个人账户支付比例（个人账户/住院总费用）</t>
  </si>
  <si>
    <t>1、门急诊人次</t>
  </si>
  <si>
    <t>2、次均费用</t>
  </si>
  <si>
    <t>3、门诊总费用</t>
  </si>
  <si>
    <t>其中：⑴统筹基金支付金额</t>
  </si>
  <si>
    <t xml:space="preserve">    ⑵统筹基金支付比例（统筹基金/门诊总费用）</t>
  </si>
  <si>
    <t xml:space="preserve">    ⑶个人账户支付金额</t>
  </si>
  <si>
    <t xml:space="preserve">    ⑷个人账户支付比例（个人账户/门诊总费用）</t>
  </si>
  <si>
    <t>1、门诊大病人次</t>
  </si>
  <si>
    <t>3、门诊大病总费用</t>
  </si>
  <si>
    <t xml:space="preserve">    ⑵统筹基金支付比例（统筹基金/门诊大病总费用）</t>
  </si>
  <si>
    <t xml:space="preserve">    ⑷个人账户支付比例（个人账户/门诊大病总费用）</t>
  </si>
  <si>
    <t>1、定点药店购药人次</t>
  </si>
  <si>
    <t>3、定点药店购药总费用</t>
  </si>
  <si>
    <t>其中：⑴个人账户支付金额</t>
  </si>
  <si>
    <t xml:space="preserve">    ⑵个人账户支付比例（个人账户/定点药店购药总费用）</t>
  </si>
  <si>
    <t>四、基本医疗保险待遇支出合计</t>
  </si>
  <si>
    <t>（一）统筹基金支出</t>
  </si>
  <si>
    <t>（二）个人账户支出</t>
  </si>
  <si>
    <t>2021年医保单建统筹住院和门诊有关指标预计执行数测算表</t>
  </si>
  <si>
    <t>其中：统筹基金支付金额</t>
  </si>
  <si>
    <t>2022年城镇职工基本医疗保险单建统筹待遇支出预算参数表</t>
  </si>
  <si>
    <t>三、基本医疗保险待遇支出</t>
  </si>
  <si>
    <t>2022年城镇职工医疗保险基金预算平衡情况表</t>
  </si>
  <si>
    <t>本年收支缺口</t>
  </si>
  <si>
    <t>财政补助</t>
  </si>
  <si>
    <t>调剂金收支差额</t>
  </si>
  <si>
    <t>使用历年结余</t>
  </si>
  <si>
    <t>备注</t>
  </si>
  <si>
    <t>其中：中央</t>
  </si>
  <si>
    <t>地方</t>
  </si>
  <si>
    <t>2022年城镇职工基本医疗保险基金预算调整情况表</t>
  </si>
  <si>
    <t>单位：元，%</t>
  </si>
  <si>
    <t>调整项目</t>
  </si>
  <si>
    <t>调增（+）</t>
  </si>
  <si>
    <t>调增比例%</t>
  </si>
  <si>
    <t>调减（-）</t>
  </si>
  <si>
    <t>调减比例%</t>
  </si>
  <si>
    <t>调整原因</t>
  </si>
  <si>
    <t>注：本表用于预算调整使用，并不是调整基金数据与财政数据不一致的。</t>
  </si>
  <si>
    <t>2022年居民基本医疗保险基金预算表</t>
  </si>
  <si>
    <t>项       目</t>
  </si>
  <si>
    <t>一、保险费收入</t>
  </si>
  <si>
    <t>其中：集体扶持收入</t>
  </si>
  <si>
    <t>其中：住院支出</t>
  </si>
  <si>
    <t xml:space="preserve">      城乡医疗救助资助收入</t>
  </si>
  <si>
    <t xml:space="preserve">      门诊支出</t>
  </si>
  <si>
    <t xml:space="preserve">       财政对困难人员代缴收入</t>
  </si>
  <si>
    <t>二、大病保险支出</t>
  </si>
  <si>
    <t>二、政府补助收入</t>
  </si>
  <si>
    <t>其中：按规定标准资助收入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</si>
  <si>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</si>
  <si>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</si>
  <si>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</si>
  <si>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</si>
  <si>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</si>
  <si>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</si>
  <si>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总        计</t>
  </si>
  <si>
    <t>2021年居民医疗参保人数预计执行数测算表</t>
  </si>
  <si>
    <t>全年新增人数测算数</t>
  </si>
  <si>
    <t>全年新增人数测算数的修正值</t>
  </si>
  <si>
    <t>全年预计新增人数</t>
  </si>
  <si>
    <t>年初预算数</t>
  </si>
  <si>
    <t>预算调整数-参考值</t>
  </si>
  <si>
    <t>城乡居民参保总人数</t>
  </si>
  <si>
    <t>成年人</t>
  </si>
  <si>
    <t>成年居民</t>
  </si>
  <si>
    <t>#18至60岁普通居民</t>
  </si>
  <si>
    <t>#60岁以上老年人居民</t>
  </si>
  <si>
    <t>#低保居民</t>
  </si>
  <si>
    <t>#重残居民</t>
  </si>
  <si>
    <t>#低收入老年人居民</t>
  </si>
  <si>
    <t>#其他困难居民</t>
  </si>
  <si>
    <t>学生儿童（未成年人）</t>
  </si>
  <si>
    <t>未成年人（学生儿童）</t>
  </si>
  <si>
    <t>#普通学生儿童</t>
  </si>
  <si>
    <t>#低保学生儿童</t>
  </si>
  <si>
    <t>#重残学生儿童</t>
  </si>
  <si>
    <t>#其他困难学生儿童</t>
  </si>
  <si>
    <t>大学生</t>
  </si>
  <si>
    <t>#中央所属大学生</t>
  </si>
  <si>
    <t>#除中央高校以外普通大学生</t>
  </si>
  <si>
    <t>#除中央高校以外困难大学生</t>
  </si>
  <si>
    <t>2022年城乡居民基本医疗保险收入预算参数表</t>
  </si>
  <si>
    <t>同比增长情况</t>
  </si>
  <si>
    <t>近三年平均增长情况</t>
  </si>
  <si>
    <t>综合增长情况</t>
  </si>
  <si>
    <t>同比增长率</t>
  </si>
  <si>
    <t>近三年平均增长率</t>
  </si>
  <si>
    <t>综合增长率测算数</t>
  </si>
  <si>
    <t>同比增长额</t>
  </si>
  <si>
    <t>个人缴费测算指标</t>
  </si>
  <si>
    <t>#18-60岁普通居民</t>
  </si>
  <si>
    <t>成年人个人缴费标准</t>
  </si>
  <si>
    <t>18-60岁普通居民</t>
  </si>
  <si>
    <t>元/人、年</t>
  </si>
  <si>
    <t>60岁以上老年人居民</t>
  </si>
  <si>
    <t>低保居民</t>
  </si>
  <si>
    <t>重残居民</t>
  </si>
  <si>
    <t>低收入老年人居民</t>
  </si>
  <si>
    <t>其他困难人员居民</t>
  </si>
  <si>
    <t>学生儿童（未成年人）个人缴费标准</t>
  </si>
  <si>
    <t>普通学生儿童</t>
  </si>
  <si>
    <t>低保学生儿童</t>
  </si>
  <si>
    <t>重残学生儿童</t>
  </si>
  <si>
    <t>其他困难人员学生儿童</t>
  </si>
  <si>
    <t>#普通大学生</t>
  </si>
  <si>
    <t>#困难大学生</t>
  </si>
  <si>
    <t>政府补助收入测算指标</t>
  </si>
  <si>
    <t>中央对居民个人补助标准</t>
  </si>
  <si>
    <t>中央对中央所属大学生补助标准</t>
  </si>
  <si>
    <t>地方对成年人个人补助标准</t>
  </si>
  <si>
    <t>地方对（未成年人）学生儿童个人补助标准</t>
  </si>
  <si>
    <t>地方对大学生补助标准</t>
  </si>
  <si>
    <t>平均个人缴费标准（填报基础资料表）</t>
  </si>
  <si>
    <t>平均财政补贴标准（填报基础资料表）</t>
  </si>
  <si>
    <t>本期征缴收入合计</t>
  </si>
  <si>
    <t>#本期个人缴费收入</t>
  </si>
  <si>
    <t>#集体扶持收入</t>
  </si>
  <si>
    <t>#本期城乡医疗救助资助收入</t>
  </si>
  <si>
    <t>#财政对困难人员代缴收入</t>
  </si>
  <si>
    <t>#个人缴费</t>
  </si>
  <si>
    <t>#财政补助</t>
  </si>
  <si>
    <t>#其他缴费</t>
  </si>
  <si>
    <t>财政补贴收入（不含政府按规定标准和参保人数资助收入）</t>
  </si>
  <si>
    <t>政府按规定标准和参保人数资助收入</t>
  </si>
  <si>
    <t>2021年居民住院和门诊有关指标预计执行数测算表</t>
  </si>
  <si>
    <t>城乡居民基本医疗</t>
  </si>
  <si>
    <t>近年前三季度占全年平均比例修正值</t>
  </si>
  <si>
    <t>近年前三季度占全年平均比例预计数</t>
  </si>
  <si>
    <t>预计执行数</t>
  </si>
  <si>
    <t>其中：基金支付金额</t>
  </si>
  <si>
    <t>三、居民生育</t>
  </si>
  <si>
    <t>（一）产前检查基金支付金额</t>
  </si>
  <si>
    <t>（二）住院分娩基金支付金额</t>
  </si>
  <si>
    <t>（三）计划生育基金支付金额</t>
  </si>
  <si>
    <t>（四）新生儿基金支付金额</t>
  </si>
  <si>
    <t>2022年城乡居民基本医疗保险待遇支出预算参数表</t>
  </si>
  <si>
    <t>其中：1.基金支付金额</t>
  </si>
  <si>
    <t xml:space="preserve">    2.基金支付比例（基金支付/住院总费用）</t>
  </si>
  <si>
    <t>其中：⑴基金支付金额</t>
  </si>
  <si>
    <t xml:space="preserve">    ⑵基金支付比例（基金支付/门诊总费用）</t>
  </si>
  <si>
    <t xml:space="preserve">    ⑵基金支付比例（基金支付/门诊大病总费用）</t>
  </si>
  <si>
    <t>（一）产前检查</t>
  </si>
  <si>
    <t>1、就诊人数</t>
  </si>
  <si>
    <t>2、人均费用</t>
  </si>
  <si>
    <t>3、产前检查总费用</t>
  </si>
  <si>
    <t xml:space="preserve">    ⑵基金支付比例（基金支付/产前检查总费用）</t>
  </si>
  <si>
    <t>（二）住院分娩</t>
  </si>
  <si>
    <t>3、住院分娩总费用</t>
  </si>
  <si>
    <t xml:space="preserve">    ⑵基金支付比例（基金支付/住院分娩总费用）</t>
  </si>
  <si>
    <t>（三）计划生育</t>
  </si>
  <si>
    <t>3、计划生育总费用</t>
  </si>
  <si>
    <t xml:space="preserve">    ⑵基金支付比例（基金支付/计划生育总费用）</t>
  </si>
  <si>
    <t>（四）新生儿</t>
  </si>
  <si>
    <t>3、新生儿总费用</t>
  </si>
  <si>
    <t xml:space="preserve">    ⑵基金支付比例（基金支付/新生儿总费用）</t>
  </si>
  <si>
    <t>四、其他医疗保险待遇支出</t>
  </si>
  <si>
    <t>五、医疗待遇支出合计</t>
  </si>
  <si>
    <t>六、大病保险待遇支出</t>
  </si>
  <si>
    <t>1、购买大病保险覆盖人数</t>
  </si>
  <si>
    <t>2、购买大病保险人均支出标准</t>
  </si>
  <si>
    <t>七、大病保险其他支出（结算上年度盈亏）</t>
  </si>
  <si>
    <t>2022年居民医疗保险基金预算平衡情况表</t>
  </si>
  <si>
    <t>中央</t>
  </si>
  <si>
    <t>2022年居民医疗保险基金预算调整情况表</t>
  </si>
  <si>
    <t>2021年生育支出预计执行数测算表</t>
  </si>
  <si>
    <t>第四季度预计数</t>
  </si>
  <si>
    <t>生育医疗费用</t>
  </si>
  <si>
    <t>计划生育医疗费用</t>
  </si>
  <si>
    <t>女职工生育津贴</t>
  </si>
  <si>
    <t>男职工生育津贴</t>
  </si>
  <si>
    <t>计划生育津贴</t>
  </si>
  <si>
    <t>2021年生育人数及人次预计执行数测算表</t>
  </si>
  <si>
    <t>前三季度执行数</t>
  </si>
  <si>
    <t>第四季度新增测算数</t>
  </si>
  <si>
    <t>第四季度预计新增数</t>
  </si>
  <si>
    <t>生育人数</t>
  </si>
  <si>
    <t>计划生育人次</t>
  </si>
  <si>
    <t>女职工生育津贴人次</t>
  </si>
  <si>
    <t>男职工生育津贴人次</t>
  </si>
  <si>
    <t>计划生育津贴人次</t>
  </si>
  <si>
    <t>2022年生育保险金支出预算参数表</t>
  </si>
  <si>
    <t>生育保险金支出</t>
  </si>
  <si>
    <t>医疗费用</t>
  </si>
  <si>
    <t>生育人数（人）</t>
  </si>
  <si>
    <t>人均生育医疗费支出</t>
  </si>
  <si>
    <t>次均计划生育支出</t>
  </si>
  <si>
    <t>医疗费用合计</t>
  </si>
  <si>
    <t>生育津贴</t>
  </si>
  <si>
    <t>次均女职工生育津贴支出</t>
  </si>
  <si>
    <t>次均男职工生育津贴支出</t>
  </si>
  <si>
    <t>次均计划生育津贴支出</t>
  </si>
  <si>
    <t>生育津贴合计</t>
  </si>
  <si>
    <t>生育保险金支出合计</t>
  </si>
  <si>
    <t>2022年基本医疗保险基础资料表</t>
  </si>
  <si>
    <t>医预 补1 表</t>
  </si>
  <si>
    <t>编制单位:</t>
  </si>
  <si>
    <t>项               目</t>
  </si>
  <si>
    <t>项            目</t>
  </si>
  <si>
    <t>一、职工基本医疗保险</t>
  </si>
  <si>
    <t>×</t>
  </si>
  <si>
    <t xml:space="preserve">  （1）上年末累计欠费</t>
  </si>
  <si>
    <t xml:space="preserve">  (一)参保人数</t>
  </si>
  <si>
    <t xml:space="preserve">   (2)本年补缴以前年度欠费</t>
  </si>
  <si>
    <t xml:space="preserve">      1.在职职工</t>
  </si>
  <si>
    <t xml:space="preserve">  （3）本年新增欠费</t>
  </si>
  <si>
    <t xml:space="preserve">      2.退休人员</t>
  </si>
  <si>
    <t xml:space="preserve">   (4)年末累计欠费</t>
  </si>
  <si>
    <t xml:space="preserve">  (二)缴费人数</t>
  </si>
  <si>
    <t>3、本年预缴以后年度基本医疗保险费</t>
  </si>
  <si>
    <t xml:space="preserve">  (三)缴费基数总额</t>
  </si>
  <si>
    <t>4、一次性补缴以前年度基本医疗保险费</t>
  </si>
  <si>
    <t xml:space="preserve">   1、单位</t>
  </si>
  <si>
    <t>二、城乡居民基本医疗保险</t>
  </si>
  <si>
    <t xml:space="preserve">   2、个人</t>
  </si>
  <si>
    <t xml:space="preserve">  (一)参保缴费年末人数</t>
  </si>
  <si>
    <t xml:space="preserve"> （四）缴费费率</t>
  </si>
  <si>
    <t xml:space="preserve">  (二)缴费标准</t>
  </si>
  <si>
    <t>元/年·人</t>
  </si>
  <si>
    <t xml:space="preserve">  1、单位缴费费率</t>
  </si>
  <si>
    <t xml:space="preserve">     其中：个人缴费标准</t>
  </si>
  <si>
    <t xml:space="preserve">  2、个人缴费费率</t>
  </si>
  <si>
    <t xml:space="preserve">           财政补助标准</t>
  </si>
  <si>
    <t xml:space="preserve"> （五）人均缴费工资基数</t>
  </si>
  <si>
    <t>元/年</t>
  </si>
  <si>
    <t xml:space="preserve">  (三)大病保险情况</t>
  </si>
  <si>
    <t xml:space="preserve"> （六）保险费缴纳情况</t>
  </si>
  <si>
    <t xml:space="preserve">    1、覆盖人数</t>
  </si>
  <si>
    <t xml:space="preserve">   1、缴纳当年医疗保险费</t>
  </si>
  <si>
    <t xml:space="preserve">    2、筹资标准</t>
  </si>
  <si>
    <t xml:space="preserve">   2、欠费情况</t>
  </si>
  <si>
    <t xml:space="preserve">    3、人均筹资水平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</si>
</sst>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"/>
    <numFmt numFmtId="177" formatCode="#,##0.00_ ;\-#,##0.00"/>
    <numFmt numFmtId="178" formatCode="0.000000%;\-0.000000%"/>
    <numFmt numFmtId="179" formatCode="0.00000000%;\-0.00000000%"/>
    <numFmt numFmtId="180" formatCode="0.00000000%;\-0.00000000%;;"/>
    <numFmt numFmtId="181" formatCode="#,##0.0000000000_ ;\-#,##0.0000000000"/>
    <numFmt numFmtId="182" formatCode="#,##0.00_ ;\-#,##0.00;;"/>
    <numFmt numFmtId="183" formatCode="0.00%;\-0.00%"/>
    <numFmt numFmtId="184" formatCode="0.000%;\-0.000%"/>
    <numFmt numFmtId="185" formatCode="0.0000%;\-0.0000%"/>
  </numFmts>
  <fonts count="50">
    <font>
      <sz val="11"/>
      <color theme="1"/>
      <name val="??"/>
      <charset val="134"/>
      <scheme val="minor"/>
    </font>
    <font>
      <sz val="10"/>
      <name val="Arial"/>
      <charset val="134"/>
    </font>
    <font>
      <sz val="23"/>
      <color indexed="56"/>
      <name val="宋体"/>
      <charset val="1"/>
    </font>
    <font>
      <b/>
      <sz val="23"/>
      <color indexed="56"/>
      <name val="宋体"/>
      <charset val="1"/>
    </font>
    <font>
      <sz val="10"/>
      <color indexed="56"/>
      <name val="宋体"/>
      <charset val="1"/>
    </font>
    <font>
      <b/>
      <sz val="23"/>
      <color indexed="8"/>
      <name val="宋体"/>
      <charset val="1"/>
    </font>
    <font>
      <sz val="9"/>
      <color indexed="8"/>
      <name val="Arial"/>
      <charset val="1"/>
    </font>
    <font>
      <sz val="10"/>
      <color indexed="8"/>
      <name val="宋体"/>
      <charset val="1"/>
    </font>
    <font>
      <sz val="10"/>
      <color indexed="8"/>
      <name val="Arial"/>
      <charset val="1"/>
    </font>
    <font>
      <sz val="9"/>
      <color indexed="8"/>
      <name val="宋体"/>
      <charset val="1"/>
    </font>
    <font>
      <sz val="23"/>
      <color indexed="8"/>
      <name val="宋体"/>
      <charset val="1"/>
    </font>
    <font>
      <b/>
      <sz val="27"/>
      <color indexed="8"/>
      <name val="微软雅黑"/>
      <charset val="1"/>
    </font>
    <font>
      <sz val="10"/>
      <name val="Arial"/>
      <charset val="1"/>
    </font>
    <font>
      <b/>
      <sz val="10"/>
      <color indexed="8"/>
      <name val="宋体"/>
      <charset val="1"/>
    </font>
    <font>
      <sz val="8"/>
      <color indexed="8"/>
      <name val="Arial"/>
      <charset val="1"/>
    </font>
    <font>
      <sz val="8"/>
      <color indexed="8"/>
      <name val="宋体"/>
      <charset val="1"/>
    </font>
    <font>
      <sz val="23"/>
      <color indexed="8"/>
      <name val="微软雅黑"/>
      <charset val="1"/>
    </font>
    <font>
      <b/>
      <sz val="9"/>
      <color indexed="8"/>
      <name val="宋体"/>
      <charset val="1"/>
    </font>
    <font>
      <sz val="25"/>
      <color indexed="8"/>
      <name val="微软雅黑"/>
      <charset val="1"/>
    </font>
    <font>
      <u/>
      <sz val="10"/>
      <color indexed="8"/>
      <name val="宋体"/>
      <charset val="1"/>
    </font>
    <font>
      <sz val="11"/>
      <color indexed="8"/>
      <name val="宋体"/>
      <charset val="1"/>
    </font>
    <font>
      <sz val="27"/>
      <color indexed="8"/>
      <name val="微软雅黑"/>
      <charset val="1"/>
    </font>
    <font>
      <b/>
      <sz val="10"/>
      <color indexed="8"/>
      <name val="微软雅黑"/>
      <charset val="1"/>
    </font>
    <font>
      <b/>
      <sz val="23"/>
      <color indexed="8"/>
      <name val="微软雅黑"/>
      <charset val="1"/>
    </font>
    <font>
      <sz val="23"/>
      <color indexed="8"/>
      <name val="Arial"/>
      <charset val="1"/>
    </font>
    <font>
      <sz val="9"/>
      <color indexed="56"/>
      <name val="宋体"/>
      <charset val="1"/>
    </font>
    <font>
      <b/>
      <sz val="23"/>
      <color indexed="8"/>
      <name val="Arial"/>
      <charset val="1"/>
    </font>
    <font>
      <b/>
      <sz val="23"/>
      <name val="Arial"/>
      <charset val="1"/>
    </font>
    <font>
      <sz val="25"/>
      <color indexed="8"/>
      <name val="宋体"/>
      <charset val="1"/>
    </font>
    <font>
      <b/>
      <sz val="11"/>
      <color indexed="8"/>
      <name val="宋体"/>
      <charset val="1"/>
    </font>
    <font>
      <b/>
      <sz val="21"/>
      <color indexed="8"/>
      <name val="宋体"/>
      <charset val="1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29" applyNumberFormat="0" applyAlignment="0" applyProtection="0">
      <alignment vertical="center"/>
    </xf>
    <xf numFmtId="0" fontId="44" fillId="16" borderId="25" applyNumberFormat="0" applyAlignment="0" applyProtection="0">
      <alignment vertical="center"/>
    </xf>
    <xf numFmtId="0" fontId="45" fillId="17" borderId="30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0" fillId="0" borderId="0"/>
  </cellStyleXfs>
  <cellXfs count="302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right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vertical="center"/>
    </xf>
    <xf numFmtId="0" fontId="4" fillId="2" borderId="1" xfId="49" applyFont="1" applyFill="1" applyBorder="1" applyAlignment="1">
      <alignment horizontal="right" vertical="center"/>
    </xf>
    <xf numFmtId="0" fontId="4" fillId="3" borderId="2" xfId="49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vertical="center"/>
    </xf>
    <xf numFmtId="177" fontId="4" fillId="2" borderId="2" xfId="49" applyNumberFormat="1" applyFont="1" applyFill="1" applyBorder="1" applyAlignment="1">
      <alignment horizontal="right" vertical="center"/>
    </xf>
    <xf numFmtId="177" fontId="4" fillId="4" borderId="2" xfId="49" applyNumberFormat="1" applyFont="1" applyFill="1" applyBorder="1" applyAlignment="1">
      <alignment horizontal="right" vertical="center"/>
    </xf>
    <xf numFmtId="176" fontId="4" fillId="5" borderId="2" xfId="49" applyNumberFormat="1" applyFont="1" applyFill="1" applyBorder="1" applyAlignment="1">
      <alignment horizontal="right" vertical="center"/>
    </xf>
    <xf numFmtId="176" fontId="4" fillId="4" borderId="2" xfId="49" applyNumberFormat="1" applyFont="1" applyFill="1" applyBorder="1" applyAlignment="1">
      <alignment horizontal="right" vertical="center"/>
    </xf>
    <xf numFmtId="177" fontId="4" fillId="5" borderId="2" xfId="49" applyNumberFormat="1" applyFont="1" applyFill="1" applyBorder="1" applyAlignment="1">
      <alignment horizontal="right" vertical="center"/>
    </xf>
    <xf numFmtId="176" fontId="4" fillId="3" borderId="2" xfId="49" applyNumberFormat="1" applyFont="1" applyFill="1" applyBorder="1" applyAlignment="1">
      <alignment horizontal="center" vertical="center"/>
    </xf>
    <xf numFmtId="178" fontId="4" fillId="4" borderId="2" xfId="49" applyNumberFormat="1" applyFont="1" applyFill="1" applyBorder="1" applyAlignment="1">
      <alignment horizontal="right" vertical="center"/>
    </xf>
    <xf numFmtId="178" fontId="4" fillId="2" borderId="2" xfId="49" applyNumberFormat="1" applyFont="1" applyFill="1" applyBorder="1" applyAlignment="1">
      <alignment horizontal="right" vertical="center"/>
    </xf>
    <xf numFmtId="0" fontId="5" fillId="2" borderId="0" xfId="49" applyFont="1" applyFill="1" applyAlignment="1">
      <alignment horizontal="center" vertical="center"/>
    </xf>
    <xf numFmtId="0" fontId="5" fillId="2" borderId="0" xfId="49" applyFont="1" applyFill="1"/>
    <xf numFmtId="0" fontId="6" fillId="2" borderId="0" xfId="49" applyFont="1" applyFill="1"/>
    <xf numFmtId="0" fontId="6" fillId="2" borderId="0" xfId="49" applyFont="1" applyFill="1" applyAlignment="1">
      <alignment vertical="center" wrapText="1"/>
    </xf>
    <xf numFmtId="0" fontId="7" fillId="2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left" vertical="center" wrapText="1"/>
    </xf>
    <xf numFmtId="0" fontId="7" fillId="2" borderId="1" xfId="49" applyFont="1" applyFill="1" applyBorder="1" applyAlignment="1">
      <alignment vertical="center"/>
    </xf>
    <xf numFmtId="0" fontId="7" fillId="3" borderId="2" xfId="49" applyFont="1" applyFill="1" applyBorder="1" applyAlignment="1">
      <alignment horizontal="center" vertical="center" wrapText="1"/>
    </xf>
    <xf numFmtId="0" fontId="7" fillId="3" borderId="2" xfId="49" applyFont="1" applyFill="1" applyBorder="1" applyAlignment="1">
      <alignment vertical="center" wrapText="1"/>
    </xf>
    <xf numFmtId="0" fontId="7" fillId="3" borderId="2" xfId="49" applyFont="1" applyFill="1" applyBorder="1" applyAlignment="1">
      <alignment horizontal="center" vertical="center"/>
    </xf>
    <xf numFmtId="177" fontId="7" fillId="2" borderId="2" xfId="49" applyNumberFormat="1" applyFont="1" applyFill="1" applyBorder="1" applyAlignment="1">
      <alignment horizontal="right" vertical="center"/>
    </xf>
    <xf numFmtId="177" fontId="7" fillId="4" borderId="2" xfId="49" applyNumberFormat="1" applyFont="1" applyFill="1" applyBorder="1" applyAlignment="1">
      <alignment horizontal="right" vertical="center"/>
    </xf>
    <xf numFmtId="179" fontId="7" fillId="5" borderId="2" xfId="49" applyNumberFormat="1" applyFont="1" applyFill="1" applyBorder="1" applyAlignment="1">
      <alignment horizontal="right" vertical="center"/>
    </xf>
    <xf numFmtId="176" fontId="7" fillId="2" borderId="2" xfId="49" applyNumberFormat="1" applyFont="1" applyFill="1" applyBorder="1" applyAlignment="1">
      <alignment horizontal="right" vertical="center"/>
    </xf>
    <xf numFmtId="176" fontId="7" fillId="4" borderId="2" xfId="49" applyNumberFormat="1" applyFont="1" applyFill="1" applyBorder="1" applyAlignment="1">
      <alignment horizontal="right" vertical="center"/>
    </xf>
    <xf numFmtId="177" fontId="7" fillId="5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/>
    <xf numFmtId="177" fontId="7" fillId="2" borderId="2" xfId="49" applyNumberFormat="1" applyFont="1" applyFill="1" applyBorder="1" applyAlignment="1">
      <alignment vertical="center"/>
    </xf>
    <xf numFmtId="176" fontId="7" fillId="2" borderId="2" xfId="49" applyNumberFormat="1" applyFont="1" applyFill="1" applyBorder="1" applyAlignment="1">
      <alignment vertical="center"/>
    </xf>
    <xf numFmtId="0" fontId="7" fillId="2" borderId="0" xfId="49" applyFont="1" applyFill="1" applyAlignment="1">
      <alignment horizontal="right" vertical="center"/>
    </xf>
    <xf numFmtId="180" fontId="7" fillId="3" borderId="2" xfId="49" applyNumberFormat="1" applyFont="1" applyFill="1" applyBorder="1" applyAlignment="1">
      <alignment horizontal="right" vertical="center"/>
    </xf>
    <xf numFmtId="180" fontId="7" fillId="5" borderId="2" xfId="49" applyNumberFormat="1" applyFont="1" applyFill="1" applyBorder="1" applyAlignment="1">
      <alignment horizontal="right" vertical="center"/>
    </xf>
    <xf numFmtId="180" fontId="7" fillId="2" borderId="2" xfId="49" applyNumberFormat="1" applyFont="1" applyFill="1" applyBorder="1" applyAlignment="1">
      <alignment horizontal="right" vertical="center"/>
    </xf>
    <xf numFmtId="176" fontId="7" fillId="5" borderId="2" xfId="49" applyNumberFormat="1" applyFont="1" applyFill="1" applyBorder="1" applyAlignment="1">
      <alignment horizontal="right" vertical="center"/>
    </xf>
    <xf numFmtId="180" fontId="7" fillId="2" borderId="2" xfId="49" applyNumberFormat="1" applyFont="1" applyFill="1" applyBorder="1" applyAlignment="1">
      <alignment vertical="center"/>
    </xf>
    <xf numFmtId="180" fontId="7" fillId="5" borderId="2" xfId="49" applyNumberFormat="1" applyFont="1" applyFill="1" applyBorder="1" applyAlignment="1">
      <alignment vertical="center"/>
    </xf>
    <xf numFmtId="177" fontId="7" fillId="5" borderId="2" xfId="49" applyNumberFormat="1" applyFont="1" applyFill="1" applyBorder="1" applyAlignment="1">
      <alignment vertical="center"/>
    </xf>
    <xf numFmtId="180" fontId="7" fillId="3" borderId="2" xfId="49" applyNumberFormat="1" applyFont="1" applyFill="1" applyBorder="1" applyAlignment="1">
      <alignment vertical="center"/>
    </xf>
    <xf numFmtId="176" fontId="7" fillId="5" borderId="2" xfId="49" applyNumberFormat="1" applyFont="1" applyFill="1" applyBorder="1" applyAlignment="1">
      <alignment vertical="center"/>
    </xf>
    <xf numFmtId="0" fontId="9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vertical="center"/>
    </xf>
    <xf numFmtId="0" fontId="9" fillId="3" borderId="3" xfId="49" applyFont="1" applyFill="1" applyBorder="1" applyAlignment="1">
      <alignment horizontal="center" vertical="center" wrapText="1"/>
    </xf>
    <xf numFmtId="0" fontId="9" fillId="6" borderId="2" xfId="49" applyFont="1" applyFill="1" applyBorder="1" applyAlignment="1">
      <alignment horizontal="center" vertical="center" wrapText="1"/>
    </xf>
    <xf numFmtId="0" fontId="9" fillId="6" borderId="2" xfId="49" applyFont="1" applyFill="1" applyBorder="1" applyAlignment="1">
      <alignment horizontal="center" vertical="center"/>
    </xf>
    <xf numFmtId="0" fontId="9" fillId="3" borderId="4" xfId="49" applyFont="1" applyFill="1" applyBorder="1" applyAlignment="1">
      <alignment horizontal="center" vertical="center"/>
    </xf>
    <xf numFmtId="0" fontId="9" fillId="3" borderId="2" xfId="49" applyFont="1" applyFill="1" applyBorder="1" applyAlignment="1">
      <alignment vertical="center" wrapText="1"/>
    </xf>
    <xf numFmtId="0" fontId="9" fillId="3" borderId="2" xfId="49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right" vertical="center"/>
    </xf>
    <xf numFmtId="179" fontId="9" fillId="5" borderId="2" xfId="49" applyNumberFormat="1" applyFont="1" applyFill="1" applyBorder="1" applyAlignment="1">
      <alignment horizontal="right" vertical="center"/>
    </xf>
    <xf numFmtId="0" fontId="9" fillId="2" borderId="0" xfId="49" applyFont="1" applyFill="1" applyAlignment="1">
      <alignment vertical="center"/>
    </xf>
    <xf numFmtId="0" fontId="6" fillId="2" borderId="1" xfId="49" applyFont="1" applyFill="1" applyBorder="1"/>
    <xf numFmtId="0" fontId="9" fillId="3" borderId="2" xfId="49" applyFont="1" applyFill="1" applyBorder="1" applyAlignment="1">
      <alignment horizontal="center" vertical="center" wrapText="1"/>
    </xf>
    <xf numFmtId="0" fontId="9" fillId="5" borderId="2" xfId="49" applyFont="1" applyFill="1" applyBorder="1" applyAlignment="1">
      <alignment horizontal="right" vertical="center"/>
    </xf>
    <xf numFmtId="177" fontId="9" fillId="5" borderId="2" xfId="49" applyNumberFormat="1" applyFont="1" applyFill="1" applyBorder="1" applyAlignment="1">
      <alignment horizontal="right" vertical="center"/>
    </xf>
    <xf numFmtId="0" fontId="9" fillId="2" borderId="0" xfId="49" applyFont="1" applyFill="1" applyAlignment="1">
      <alignment horizontal="center" vertical="center" wrapText="1"/>
    </xf>
    <xf numFmtId="0" fontId="10" fillId="2" borderId="0" xfId="49" applyFont="1" applyFill="1" applyAlignment="1">
      <alignment vertical="center"/>
    </xf>
    <xf numFmtId="0" fontId="9" fillId="2" borderId="1" xfId="49" applyFont="1" applyFill="1" applyBorder="1" applyAlignment="1">
      <alignment horizontal="right" vertical="center"/>
    </xf>
    <xf numFmtId="0" fontId="11" fillId="2" borderId="0" xfId="49" applyFont="1" applyFill="1" applyAlignment="1">
      <alignment horizontal="center" vertical="center"/>
    </xf>
    <xf numFmtId="0" fontId="12" fillId="2" borderId="0" xfId="49" applyFont="1" applyFill="1"/>
    <xf numFmtId="0" fontId="7" fillId="2" borderId="1" xfId="49" applyFont="1" applyFill="1" applyBorder="1" applyAlignment="1">
      <alignment horizontal="left" vertical="center"/>
    </xf>
    <xf numFmtId="0" fontId="7" fillId="2" borderId="1" xfId="49" applyFont="1" applyFill="1" applyBorder="1" applyAlignment="1">
      <alignment horizontal="right" vertical="center"/>
    </xf>
    <xf numFmtId="0" fontId="7" fillId="3" borderId="5" xfId="49" applyFont="1" applyFill="1" applyBorder="1" applyAlignment="1">
      <alignment horizontal="center" vertical="center" wrapText="1"/>
    </xf>
    <xf numFmtId="0" fontId="7" fillId="2" borderId="6" xfId="49" applyFont="1" applyFill="1" applyBorder="1" applyAlignment="1">
      <alignment horizontal="left" vertical="center"/>
    </xf>
    <xf numFmtId="177" fontId="7" fillId="2" borderId="6" xfId="49" applyNumberFormat="1" applyFont="1" applyFill="1" applyBorder="1" applyAlignment="1">
      <alignment horizontal="right" vertical="center"/>
    </xf>
    <xf numFmtId="179" fontId="7" fillId="5" borderId="6" xfId="49" applyNumberFormat="1" applyFont="1" applyFill="1" applyBorder="1" applyAlignment="1">
      <alignment horizontal="right" vertical="center"/>
    </xf>
    <xf numFmtId="0" fontId="7" fillId="2" borderId="6" xfId="49" applyFont="1" applyFill="1" applyBorder="1" applyAlignment="1">
      <alignment horizontal="left" vertical="center" wrapText="1"/>
    </xf>
    <xf numFmtId="0" fontId="7" fillId="2" borderId="7" xfId="49" applyFont="1" applyFill="1" applyBorder="1" applyAlignment="1">
      <alignment horizontal="left" vertical="center"/>
    </xf>
    <xf numFmtId="177" fontId="7" fillId="2" borderId="7" xfId="49" applyNumberFormat="1" applyFont="1" applyFill="1" applyBorder="1" applyAlignment="1">
      <alignment horizontal="right" vertical="center"/>
    </xf>
    <xf numFmtId="179" fontId="7" fillId="2" borderId="7" xfId="49" applyNumberFormat="1" applyFont="1" applyFill="1" applyBorder="1" applyAlignment="1">
      <alignment horizontal="right" vertical="center"/>
    </xf>
    <xf numFmtId="0" fontId="7" fillId="2" borderId="7" xfId="49" applyFont="1" applyFill="1" applyBorder="1" applyAlignment="1">
      <alignment horizontal="left" vertical="center" wrapText="1"/>
    </xf>
    <xf numFmtId="0" fontId="13" fillId="2" borderId="8" xfId="49" applyFont="1" applyFill="1" applyBorder="1" applyAlignment="1">
      <alignment horizontal="left" vertical="center"/>
    </xf>
    <xf numFmtId="177" fontId="13" fillId="2" borderId="8" xfId="49" applyNumberFormat="1" applyFont="1" applyFill="1" applyBorder="1" applyAlignment="1">
      <alignment horizontal="right" vertical="center"/>
    </xf>
    <xf numFmtId="179" fontId="13" fillId="2" borderId="8" xfId="49" applyNumberFormat="1" applyFont="1" applyFill="1" applyBorder="1" applyAlignment="1">
      <alignment horizontal="right" vertical="center"/>
    </xf>
    <xf numFmtId="0" fontId="13" fillId="2" borderId="8" xfId="49" applyFont="1" applyFill="1" applyBorder="1" applyAlignment="1">
      <alignment horizontal="left" vertical="center" wrapText="1"/>
    </xf>
    <xf numFmtId="0" fontId="14" fillId="2" borderId="0" xfId="49" applyFont="1" applyFill="1"/>
    <xf numFmtId="0" fontId="15" fillId="2" borderId="0" xfId="49" applyFont="1" applyFill="1" applyAlignment="1">
      <alignment horizontal="right" vertical="center"/>
    </xf>
    <xf numFmtId="0" fontId="15" fillId="2" borderId="1" xfId="49" applyFont="1" applyFill="1" applyBorder="1" applyAlignment="1">
      <alignment horizontal="center" vertical="center"/>
    </xf>
    <xf numFmtId="0" fontId="14" fillId="2" borderId="1" xfId="49" applyFont="1" applyFill="1" applyBorder="1"/>
    <xf numFmtId="0" fontId="15" fillId="2" borderId="1" xfId="49" applyFont="1" applyFill="1" applyBorder="1" applyAlignment="1">
      <alignment horizontal="right" vertical="center"/>
    </xf>
    <xf numFmtId="0" fontId="15" fillId="3" borderId="2" xfId="49" applyFont="1" applyFill="1" applyBorder="1" applyAlignment="1">
      <alignment horizontal="center" vertical="center"/>
    </xf>
    <xf numFmtId="0" fontId="15" fillId="3" borderId="2" xfId="49" applyFont="1" applyFill="1" applyBorder="1" applyAlignment="1">
      <alignment horizontal="center" vertical="center" wrapText="1"/>
    </xf>
    <xf numFmtId="0" fontId="14" fillId="2" borderId="2" xfId="49" applyFont="1" applyFill="1" applyBorder="1"/>
    <xf numFmtId="177" fontId="15" fillId="4" borderId="2" xfId="49" applyNumberFormat="1" applyFont="1" applyFill="1" applyBorder="1" applyAlignment="1">
      <alignment horizontal="right" vertical="center"/>
    </xf>
    <xf numFmtId="177" fontId="15" fillId="2" borderId="2" xfId="49" applyNumberFormat="1" applyFont="1" applyFill="1" applyBorder="1" applyAlignment="1">
      <alignment horizontal="right" vertical="center"/>
    </xf>
    <xf numFmtId="177" fontId="15" fillId="5" borderId="2" xfId="49" applyNumberFormat="1" applyFont="1" applyFill="1" applyBorder="1" applyAlignment="1">
      <alignment horizontal="right" vertical="center"/>
    </xf>
    <xf numFmtId="0" fontId="15" fillId="2" borderId="2" xfId="49" applyFont="1" applyFill="1" applyBorder="1" applyAlignment="1">
      <alignment horizontal="left" vertical="center" wrapText="1"/>
    </xf>
    <xf numFmtId="0" fontId="16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horizontal="center" vertical="center"/>
    </xf>
    <xf numFmtId="0" fontId="9" fillId="2" borderId="1" xfId="49" applyFont="1" applyFill="1" applyBorder="1" applyAlignment="1">
      <alignment horizontal="left" vertical="center"/>
    </xf>
    <xf numFmtId="0" fontId="17" fillId="3" borderId="2" xfId="49" applyFont="1" applyFill="1" applyBorder="1" applyAlignment="1">
      <alignment horizontal="left" vertical="center"/>
    </xf>
    <xf numFmtId="179" fontId="9" fillId="3" borderId="2" xfId="49" applyNumberFormat="1" applyFont="1" applyFill="1" applyBorder="1" applyAlignment="1">
      <alignment horizontal="center" vertical="center"/>
    </xf>
    <xf numFmtId="0" fontId="9" fillId="3" borderId="2" xfId="49" applyFont="1" applyFill="1" applyBorder="1" applyAlignment="1">
      <alignment horizontal="left" vertical="center"/>
    </xf>
    <xf numFmtId="179" fontId="9" fillId="2" borderId="2" xfId="49" applyNumberFormat="1" applyFont="1" applyFill="1" applyBorder="1" applyAlignment="1">
      <alignment horizontal="right" vertical="center"/>
    </xf>
    <xf numFmtId="0" fontId="9" fillId="4" borderId="2" xfId="49" applyFont="1" applyFill="1" applyBorder="1" applyAlignment="1">
      <alignment horizontal="right" vertical="center"/>
    </xf>
    <xf numFmtId="179" fontId="9" fillId="3" borderId="2" xfId="49" applyNumberFormat="1" applyFont="1" applyFill="1" applyBorder="1" applyAlignment="1">
      <alignment horizontal="right" vertical="center"/>
    </xf>
    <xf numFmtId="0" fontId="9" fillId="3" borderId="2" xfId="49" applyFont="1" applyFill="1" applyBorder="1" applyAlignment="1">
      <alignment horizontal="right" vertical="center"/>
    </xf>
    <xf numFmtId="0" fontId="9" fillId="2" borderId="0" xfId="49" applyFont="1" applyFill="1" applyAlignment="1">
      <alignment horizontal="right" vertical="center"/>
    </xf>
    <xf numFmtId="181" fontId="9" fillId="5" borderId="2" xfId="49" applyNumberFormat="1" applyFont="1" applyFill="1" applyBorder="1" applyAlignment="1">
      <alignment horizontal="right" vertical="center"/>
    </xf>
    <xf numFmtId="0" fontId="9" fillId="3" borderId="9" xfId="49" applyFont="1" applyFill="1" applyBorder="1" applyAlignment="1">
      <alignment horizontal="center" vertical="center"/>
    </xf>
    <xf numFmtId="0" fontId="9" fillId="3" borderId="10" xfId="49" applyFont="1" applyFill="1" applyBorder="1" applyAlignment="1">
      <alignment horizontal="center" vertical="center"/>
    </xf>
    <xf numFmtId="0" fontId="9" fillId="3" borderId="11" xfId="49" applyFont="1" applyFill="1" applyBorder="1" applyAlignment="1">
      <alignment horizontal="center" vertical="center"/>
    </xf>
    <xf numFmtId="0" fontId="9" fillId="3" borderId="9" xfId="49" applyFont="1" applyFill="1" applyBorder="1" applyAlignment="1">
      <alignment horizontal="left" vertical="center" wrapText="1"/>
    </xf>
    <xf numFmtId="0" fontId="9" fillId="3" borderId="11" xfId="49" applyFont="1" applyFill="1" applyBorder="1" applyAlignment="1">
      <alignment horizontal="left" vertical="center" wrapText="1"/>
    </xf>
    <xf numFmtId="0" fontId="9" fillId="3" borderId="2" xfId="49" applyFont="1" applyFill="1" applyBorder="1" applyAlignment="1">
      <alignment vertical="center"/>
    </xf>
    <xf numFmtId="0" fontId="9" fillId="3" borderId="9" xfId="49" applyFont="1" applyFill="1" applyBorder="1" applyAlignment="1">
      <alignment vertical="center"/>
    </xf>
    <xf numFmtId="0" fontId="9" fillId="3" borderId="11" xfId="49" applyFont="1" applyFill="1" applyBorder="1" applyAlignment="1">
      <alignment vertical="center"/>
    </xf>
    <xf numFmtId="0" fontId="9" fillId="2" borderId="2" xfId="49" applyFont="1" applyFill="1" applyBorder="1" applyAlignment="1">
      <alignment vertical="center"/>
    </xf>
    <xf numFmtId="0" fontId="18" fillId="2" borderId="0" xfId="49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center" vertical="center"/>
    </xf>
    <xf numFmtId="0" fontId="20" fillId="2" borderId="1" xfId="49" applyFont="1" applyFill="1" applyBorder="1" applyAlignment="1">
      <alignment horizontal="center" vertical="center"/>
    </xf>
    <xf numFmtId="0" fontId="7" fillId="3" borderId="2" xfId="49" applyFont="1" applyFill="1" applyBorder="1" applyAlignment="1">
      <alignment horizontal="left" vertical="center" wrapText="1"/>
    </xf>
    <xf numFmtId="0" fontId="7" fillId="3" borderId="2" xfId="49" applyFont="1" applyFill="1" applyBorder="1" applyAlignment="1">
      <alignment horizontal="left" vertical="center"/>
    </xf>
    <xf numFmtId="177" fontId="7" fillId="3" borderId="2" xfId="49" applyNumberFormat="1" applyFont="1" applyFill="1" applyBorder="1" applyAlignment="1">
      <alignment horizontal="right" vertical="center"/>
    </xf>
    <xf numFmtId="179" fontId="7" fillId="3" borderId="2" xfId="49" applyNumberFormat="1" applyFont="1" applyFill="1" applyBorder="1" applyAlignment="1">
      <alignment horizontal="right" vertical="center"/>
    </xf>
    <xf numFmtId="0" fontId="7" fillId="3" borderId="5" xfId="49" applyFont="1" applyFill="1" applyBorder="1" applyAlignment="1">
      <alignment horizontal="left" vertical="center" wrapText="1"/>
    </xf>
    <xf numFmtId="0" fontId="7" fillId="3" borderId="6" xfId="49" applyFont="1" applyFill="1" applyBorder="1" applyAlignment="1">
      <alignment horizontal="left" vertical="center" wrapText="1"/>
    </xf>
    <xf numFmtId="0" fontId="7" fillId="3" borderId="12" xfId="49" applyFont="1" applyFill="1" applyBorder="1" applyAlignment="1">
      <alignment horizontal="center" vertical="center" wrapText="1"/>
    </xf>
    <xf numFmtId="0" fontId="7" fillId="3" borderId="13" xfId="49" applyFont="1" applyFill="1" applyBorder="1" applyAlignment="1">
      <alignment horizontal="center" vertical="center" wrapText="1"/>
    </xf>
    <xf numFmtId="177" fontId="7" fillId="3" borderId="5" xfId="49" applyNumberFormat="1" applyFont="1" applyFill="1" applyBorder="1" applyAlignment="1">
      <alignment horizontal="right" vertical="center"/>
    </xf>
    <xf numFmtId="177" fontId="7" fillId="2" borderId="5" xfId="49" applyNumberFormat="1" applyFont="1" applyFill="1" applyBorder="1" applyAlignment="1">
      <alignment horizontal="right" vertical="center"/>
    </xf>
    <xf numFmtId="179" fontId="7" fillId="3" borderId="5" xfId="49" applyNumberFormat="1" applyFont="1" applyFill="1" applyBorder="1" applyAlignment="1">
      <alignment horizontal="right" vertical="center"/>
    </xf>
    <xf numFmtId="0" fontId="12" fillId="2" borderId="6" xfId="49" applyFont="1" applyFill="1" applyBorder="1"/>
    <xf numFmtId="0" fontId="7" fillId="3" borderId="6" xfId="49" applyFont="1" applyFill="1" applyBorder="1" applyAlignment="1">
      <alignment horizontal="center" vertical="center"/>
    </xf>
    <xf numFmtId="0" fontId="12" fillId="3" borderId="6" xfId="49" applyFont="1" applyFill="1" applyBorder="1" applyAlignment="1">
      <alignment horizontal="center"/>
    </xf>
    <xf numFmtId="177" fontId="7" fillId="3" borderId="6" xfId="49" applyNumberFormat="1" applyFont="1" applyFill="1" applyBorder="1"/>
    <xf numFmtId="179" fontId="12" fillId="3" borderId="6" xfId="49" applyNumberFormat="1" applyFont="1" applyFill="1" applyBorder="1"/>
    <xf numFmtId="0" fontId="7" fillId="3" borderId="14" xfId="49" applyFont="1" applyFill="1" applyBorder="1" applyAlignment="1">
      <alignment horizontal="center" vertical="center"/>
    </xf>
    <xf numFmtId="0" fontId="12" fillId="2" borderId="15" xfId="49" applyFont="1" applyFill="1" applyBorder="1"/>
    <xf numFmtId="0" fontId="7" fillId="3" borderId="12" xfId="49" applyFont="1" applyFill="1" applyBorder="1" applyAlignment="1">
      <alignment horizontal="left" vertical="center" wrapText="1"/>
    </xf>
    <xf numFmtId="0" fontId="7" fillId="3" borderId="16" xfId="49" applyFont="1" applyFill="1" applyBorder="1" applyAlignment="1">
      <alignment horizontal="left" vertical="center" wrapText="1"/>
    </xf>
    <xf numFmtId="0" fontId="7" fillId="3" borderId="17" xfId="49" applyFont="1" applyFill="1" applyBorder="1" applyAlignment="1">
      <alignment horizontal="left" vertical="center" wrapText="1"/>
    </xf>
    <xf numFmtId="0" fontId="7" fillId="3" borderId="17" xfId="49" applyFont="1" applyFill="1" applyBorder="1" applyAlignment="1">
      <alignment horizontal="center" vertical="center" wrapText="1"/>
    </xf>
    <xf numFmtId="177" fontId="7" fillId="3" borderId="17" xfId="49" applyNumberFormat="1" applyFont="1" applyFill="1" applyBorder="1" applyAlignment="1">
      <alignment horizontal="right" vertical="center"/>
    </xf>
    <xf numFmtId="177" fontId="7" fillId="2" borderId="17" xfId="49" applyNumberFormat="1" applyFont="1" applyFill="1" applyBorder="1" applyAlignment="1">
      <alignment horizontal="right" vertical="center"/>
    </xf>
    <xf numFmtId="179" fontId="7" fillId="3" borderId="17" xfId="49" applyNumberFormat="1" applyFont="1" applyFill="1" applyBorder="1" applyAlignment="1">
      <alignment horizontal="right" vertical="center"/>
    </xf>
    <xf numFmtId="0" fontId="8" fillId="2" borderId="6" xfId="49" applyFont="1" applyFill="1" applyBorder="1" applyAlignment="1">
      <alignment horizontal="left"/>
    </xf>
    <xf numFmtId="179" fontId="7" fillId="2" borderId="2" xfId="49" applyNumberFormat="1" applyFont="1" applyFill="1" applyBorder="1" applyAlignment="1">
      <alignment horizontal="right" vertical="center"/>
    </xf>
    <xf numFmtId="177" fontId="7" fillId="5" borderId="5" xfId="49" applyNumberFormat="1" applyFont="1" applyFill="1" applyBorder="1" applyAlignment="1">
      <alignment horizontal="right" vertical="center"/>
    </xf>
    <xf numFmtId="179" fontId="7" fillId="5" borderId="5" xfId="49" applyNumberFormat="1" applyFont="1" applyFill="1" applyBorder="1" applyAlignment="1">
      <alignment horizontal="right" vertical="center"/>
    </xf>
    <xf numFmtId="177" fontId="7" fillId="5" borderId="6" xfId="49" applyNumberFormat="1" applyFont="1" applyFill="1" applyBorder="1" applyAlignment="1">
      <alignment horizontal="right" vertical="center"/>
    </xf>
    <xf numFmtId="177" fontId="7" fillId="5" borderId="17" xfId="49" applyNumberFormat="1" applyFont="1" applyFill="1" applyBorder="1" applyAlignment="1">
      <alignment horizontal="right" vertical="center"/>
    </xf>
    <xf numFmtId="179" fontId="7" fillId="5" borderId="17" xfId="49" applyNumberFormat="1" applyFont="1" applyFill="1" applyBorder="1" applyAlignment="1">
      <alignment horizontal="right" vertical="center"/>
    </xf>
    <xf numFmtId="0" fontId="10" fillId="2" borderId="0" xfId="49" applyFont="1" applyFill="1" applyAlignment="1">
      <alignment horizontal="center" vertical="center"/>
    </xf>
    <xf numFmtId="0" fontId="7" fillId="2" borderId="18" xfId="49" applyFont="1" applyFill="1" applyBorder="1" applyAlignment="1">
      <alignment horizontal="center" vertical="center"/>
    </xf>
    <xf numFmtId="0" fontId="7" fillId="2" borderId="18" xfId="49" applyFont="1" applyFill="1" applyBorder="1" applyAlignment="1">
      <alignment horizontal="left" vertical="center"/>
    </xf>
    <xf numFmtId="0" fontId="7" fillId="2" borderId="18" xfId="49" applyFont="1" applyFill="1" applyBorder="1" applyAlignment="1">
      <alignment vertical="center"/>
    </xf>
    <xf numFmtId="0" fontId="7" fillId="3" borderId="19" xfId="49" applyFont="1" applyFill="1" applyBorder="1" applyAlignment="1">
      <alignment horizontal="center" vertical="center" wrapText="1"/>
    </xf>
    <xf numFmtId="0" fontId="7" fillId="3" borderId="20" xfId="49" applyFont="1" applyFill="1" applyBorder="1" applyAlignment="1">
      <alignment horizontal="left" vertical="center" wrapText="1"/>
    </xf>
    <xf numFmtId="0" fontId="21" fillId="2" borderId="0" xfId="49" applyFont="1" applyFill="1" applyAlignment="1">
      <alignment horizontal="center" vertical="center"/>
    </xf>
    <xf numFmtId="0" fontId="22" fillId="2" borderId="0" xfId="49" applyFont="1" applyFill="1" applyAlignment="1">
      <alignment horizontal="center" vertical="center"/>
    </xf>
    <xf numFmtId="49" fontId="20" fillId="2" borderId="1" xfId="49" applyNumberFormat="1" applyFont="1" applyFill="1" applyBorder="1" applyAlignment="1">
      <alignment horizontal="left" vertical="center" wrapText="1"/>
    </xf>
    <xf numFmtId="0" fontId="12" fillId="2" borderId="1" xfId="49" applyFont="1" applyFill="1" applyBorder="1"/>
    <xf numFmtId="0" fontId="7" fillId="6" borderId="2" xfId="49" applyFont="1" applyFill="1" applyBorder="1" applyAlignment="1">
      <alignment horizontal="center" vertical="center" wrapText="1"/>
    </xf>
    <xf numFmtId="0" fontId="7" fillId="6" borderId="5" xfId="49" applyFont="1" applyFill="1" applyBorder="1" applyAlignment="1">
      <alignment vertical="center"/>
    </xf>
    <xf numFmtId="177" fontId="7" fillId="4" borderId="5" xfId="49" applyNumberFormat="1" applyFont="1" applyFill="1" applyBorder="1" applyAlignment="1">
      <alignment horizontal="right" vertical="center"/>
    </xf>
    <xf numFmtId="182" fontId="7" fillId="4" borderId="5" xfId="49" applyNumberFormat="1" applyFont="1" applyFill="1" applyBorder="1" applyAlignment="1">
      <alignment horizontal="right" vertical="center"/>
    </xf>
    <xf numFmtId="0" fontId="20" fillId="6" borderId="6" xfId="49" applyFont="1" applyFill="1" applyBorder="1" applyAlignment="1">
      <alignment vertical="center"/>
    </xf>
    <xf numFmtId="177" fontId="7" fillId="4" borderId="6" xfId="49" applyNumberFormat="1" applyFont="1" applyFill="1" applyBorder="1" applyAlignment="1">
      <alignment horizontal="right" vertical="center"/>
    </xf>
    <xf numFmtId="0" fontId="7" fillId="6" borderId="16" xfId="49" applyFont="1" applyFill="1" applyBorder="1" applyAlignment="1">
      <alignment vertical="center"/>
    </xf>
    <xf numFmtId="0" fontId="7" fillId="6" borderId="21" xfId="49" applyFont="1" applyFill="1" applyBorder="1" applyAlignment="1">
      <alignment vertical="center"/>
    </xf>
    <xf numFmtId="177" fontId="7" fillId="4" borderId="21" xfId="49" applyNumberFormat="1" applyFont="1" applyFill="1" applyBorder="1" applyAlignment="1">
      <alignment horizontal="right" vertical="center"/>
    </xf>
    <xf numFmtId="0" fontId="7" fillId="6" borderId="17" xfId="49" applyFont="1" applyFill="1" applyBorder="1" applyAlignment="1">
      <alignment vertical="center"/>
    </xf>
    <xf numFmtId="177" fontId="7" fillId="4" borderId="17" xfId="49" applyNumberFormat="1" applyFont="1" applyFill="1" applyBorder="1" applyAlignment="1">
      <alignment horizontal="right" vertical="center"/>
    </xf>
    <xf numFmtId="0" fontId="7" fillId="6" borderId="2" xfId="49" applyFont="1" applyFill="1" applyBorder="1" applyAlignment="1">
      <alignment vertical="center"/>
    </xf>
    <xf numFmtId="0" fontId="7" fillId="6" borderId="2" xfId="49" applyFont="1" applyFill="1" applyBorder="1" applyAlignment="1">
      <alignment horizontal="center" vertical="center"/>
    </xf>
    <xf numFmtId="0" fontId="23" fillId="2" borderId="0" xfId="49" applyFont="1" applyFill="1" applyAlignment="1">
      <alignment horizontal="center" vertical="center"/>
    </xf>
    <xf numFmtId="0" fontId="7" fillId="2" borderId="8" xfId="49" applyFont="1" applyFill="1" applyBorder="1" applyAlignment="1">
      <alignment horizontal="left" vertical="center" wrapText="1"/>
    </xf>
    <xf numFmtId="177" fontId="7" fillId="2" borderId="8" xfId="49" applyNumberFormat="1" applyFont="1" applyFill="1" applyBorder="1" applyAlignment="1">
      <alignment horizontal="right" vertical="center"/>
    </xf>
    <xf numFmtId="179" fontId="7" fillId="2" borderId="8" xfId="49" applyNumberFormat="1" applyFont="1" applyFill="1" applyBorder="1" applyAlignment="1">
      <alignment horizontal="right" vertical="center"/>
    </xf>
    <xf numFmtId="0" fontId="13" fillId="2" borderId="0" xfId="49" applyFont="1" applyFill="1" applyAlignment="1">
      <alignment horizontal="left" vertical="center" wrapText="1"/>
    </xf>
    <xf numFmtId="177" fontId="13" fillId="2" borderId="0" xfId="49" applyNumberFormat="1" applyFont="1" applyFill="1" applyAlignment="1">
      <alignment horizontal="right" vertical="center"/>
    </xf>
    <xf numFmtId="179" fontId="13" fillId="2" borderId="0" xfId="49" applyNumberFormat="1" applyFont="1" applyFill="1" applyAlignment="1">
      <alignment horizontal="right" vertical="center"/>
    </xf>
    <xf numFmtId="0" fontId="24" fillId="2" borderId="0" xfId="49" applyFont="1" applyFill="1"/>
    <xf numFmtId="0" fontId="15" fillId="2" borderId="1" xfId="49" applyFont="1" applyFill="1" applyBorder="1" applyAlignment="1">
      <alignment horizontal="left" vertical="center"/>
    </xf>
    <xf numFmtId="0" fontId="15" fillId="2" borderId="1" xfId="49" applyFont="1" applyFill="1" applyBorder="1" applyAlignment="1">
      <alignment horizontal="center" vertical="center" wrapText="1"/>
    </xf>
    <xf numFmtId="0" fontId="14" fillId="2" borderId="1" xfId="49" applyFont="1" applyFill="1" applyBorder="1" applyAlignment="1">
      <alignment horizontal="center"/>
    </xf>
    <xf numFmtId="0" fontId="15" fillId="4" borderId="2" xfId="49" applyFont="1" applyFill="1" applyBorder="1" applyAlignment="1">
      <alignment horizontal="right" vertical="center"/>
    </xf>
    <xf numFmtId="0" fontId="15" fillId="2" borderId="2" xfId="49" applyFont="1" applyFill="1" applyBorder="1" applyAlignment="1">
      <alignment horizontal="right" vertical="center"/>
    </xf>
    <xf numFmtId="0" fontId="15" fillId="2" borderId="2" xfId="49" applyFont="1" applyFill="1" applyBorder="1" applyAlignment="1">
      <alignment horizontal="center" vertical="center"/>
    </xf>
    <xf numFmtId="0" fontId="16" fillId="2" borderId="0" xfId="49" applyFont="1" applyFill="1" applyAlignment="1">
      <alignment vertical="center"/>
    </xf>
    <xf numFmtId="0" fontId="16" fillId="2" borderId="0" xfId="49" applyFont="1" applyFill="1"/>
    <xf numFmtId="0" fontId="7" fillId="2" borderId="0" xfId="49" applyFont="1" applyFill="1" applyAlignment="1">
      <alignment vertical="center"/>
    </xf>
    <xf numFmtId="0" fontId="7" fillId="3" borderId="2" xfId="49" applyFont="1" applyFill="1" applyBorder="1" applyAlignment="1">
      <alignment vertical="center"/>
    </xf>
    <xf numFmtId="0" fontId="7" fillId="3" borderId="2" xfId="49" applyFont="1" applyFill="1" applyBorder="1" applyAlignment="1">
      <alignment horizontal="right" vertical="center"/>
    </xf>
    <xf numFmtId="183" fontId="7" fillId="3" borderId="2" xfId="49" applyNumberFormat="1" applyFont="1" applyFill="1" applyBorder="1" applyAlignment="1">
      <alignment horizontal="right" vertical="center"/>
    </xf>
    <xf numFmtId="179" fontId="7" fillId="4" borderId="2" xfId="49" applyNumberFormat="1" applyFont="1" applyFill="1" applyBorder="1" applyAlignment="1">
      <alignment horizontal="right" vertical="center"/>
    </xf>
    <xf numFmtId="177" fontId="7" fillId="4" borderId="2" xfId="49" applyNumberFormat="1" applyFont="1" applyFill="1" applyBorder="1" applyAlignment="1">
      <alignment vertical="center"/>
    </xf>
    <xf numFmtId="179" fontId="7" fillId="3" borderId="2" xfId="49" applyNumberFormat="1" applyFont="1" applyFill="1" applyBorder="1" applyAlignment="1">
      <alignment vertical="center"/>
    </xf>
    <xf numFmtId="179" fontId="7" fillId="2" borderId="2" xfId="49" applyNumberFormat="1" applyFont="1" applyFill="1" applyBorder="1" applyAlignment="1">
      <alignment vertical="center"/>
    </xf>
    <xf numFmtId="176" fontId="7" fillId="4" borderId="2" xfId="49" applyNumberFormat="1" applyFont="1" applyFill="1" applyBorder="1" applyAlignment="1">
      <alignment vertical="center"/>
    </xf>
    <xf numFmtId="184" fontId="7" fillId="3" borderId="2" xfId="49" applyNumberFormat="1" applyFont="1" applyFill="1" applyBorder="1" applyAlignment="1">
      <alignment horizontal="right" vertical="center"/>
    </xf>
    <xf numFmtId="179" fontId="7" fillId="5" borderId="2" xfId="49" applyNumberFormat="1" applyFont="1" applyFill="1" applyBorder="1" applyAlignment="1">
      <alignment vertical="center"/>
    </xf>
    <xf numFmtId="0" fontId="8" fillId="2" borderId="1" xfId="49" applyFont="1" applyFill="1" applyBorder="1" applyAlignment="1">
      <alignment horizontal="left" vertical="center"/>
    </xf>
    <xf numFmtId="0" fontId="7" fillId="3" borderId="9" xfId="49" applyFont="1" applyFill="1" applyBorder="1" applyAlignment="1">
      <alignment horizontal="left" vertical="center" wrapText="1"/>
    </xf>
    <xf numFmtId="0" fontId="7" fillId="3" borderId="11" xfId="49" applyFont="1" applyFill="1" applyBorder="1" applyAlignment="1">
      <alignment horizontal="left" vertical="center" wrapText="1"/>
    </xf>
    <xf numFmtId="0" fontId="4" fillId="2" borderId="2" xfId="49" applyFont="1" applyFill="1" applyBorder="1" applyAlignment="1">
      <alignment vertical="center"/>
    </xf>
    <xf numFmtId="0" fontId="8" fillId="2" borderId="1" xfId="49" applyFont="1" applyFill="1" applyBorder="1"/>
    <xf numFmtId="0" fontId="8" fillId="2" borderId="1" xfId="49" applyFont="1" applyFill="1" applyBorder="1" applyAlignment="1">
      <alignment vertical="center"/>
    </xf>
    <xf numFmtId="0" fontId="14" fillId="2" borderId="0" xfId="49" applyFont="1" applyFill="1" applyAlignment="1">
      <alignment horizontal="center"/>
    </xf>
    <xf numFmtId="0" fontId="25" fillId="3" borderId="2" xfId="49" applyFont="1" applyFill="1" applyBorder="1" applyAlignment="1">
      <alignment vertical="center"/>
    </xf>
    <xf numFmtId="0" fontId="25" fillId="2" borderId="2" xfId="49" applyFont="1" applyFill="1" applyBorder="1" applyAlignment="1">
      <alignment vertical="center"/>
    </xf>
    <xf numFmtId="0" fontId="25" fillId="3" borderId="2" xfId="49" applyFont="1" applyFill="1" applyBorder="1" applyAlignment="1">
      <alignment horizontal="center" vertical="center"/>
    </xf>
    <xf numFmtId="0" fontId="25" fillId="3" borderId="2" xfId="49" applyFont="1" applyFill="1" applyBorder="1" applyAlignment="1">
      <alignment horizontal="right" vertical="center"/>
    </xf>
    <xf numFmtId="0" fontId="25" fillId="4" borderId="2" xfId="49" applyFont="1" applyFill="1" applyBorder="1" applyAlignment="1">
      <alignment horizontal="right" vertical="center"/>
    </xf>
    <xf numFmtId="179" fontId="25" fillId="5" borderId="2" xfId="49" applyNumberFormat="1" applyFont="1" applyFill="1" applyBorder="1" applyAlignment="1">
      <alignment horizontal="right" vertical="center"/>
    </xf>
    <xf numFmtId="179" fontId="25" fillId="2" borderId="2" xfId="49" applyNumberFormat="1" applyFont="1" applyFill="1" applyBorder="1" applyAlignment="1">
      <alignment horizontal="right" vertical="center"/>
    </xf>
    <xf numFmtId="179" fontId="25" fillId="3" borderId="2" xfId="49" applyNumberFormat="1" applyFont="1" applyFill="1" applyBorder="1" applyAlignment="1">
      <alignment horizontal="right" vertical="center"/>
    </xf>
    <xf numFmtId="177" fontId="25" fillId="5" borderId="2" xfId="49" applyNumberFormat="1" applyFont="1" applyFill="1" applyBorder="1" applyAlignment="1">
      <alignment horizontal="right" vertical="center"/>
    </xf>
    <xf numFmtId="179" fontId="25" fillId="2" borderId="2" xfId="49" applyNumberFormat="1" applyFont="1" applyFill="1" applyBorder="1" applyAlignment="1">
      <alignment vertical="center"/>
    </xf>
    <xf numFmtId="0" fontId="25" fillId="4" borderId="2" xfId="49" applyFont="1" applyFill="1" applyBorder="1" applyAlignment="1">
      <alignment vertical="center"/>
    </xf>
    <xf numFmtId="179" fontId="25" fillId="3" borderId="2" xfId="49" applyNumberFormat="1" applyFont="1" applyFill="1" applyBorder="1" applyAlignment="1">
      <alignment vertical="center"/>
    </xf>
    <xf numFmtId="0" fontId="25" fillId="5" borderId="2" xfId="49" applyFont="1" applyFill="1" applyBorder="1" applyAlignment="1">
      <alignment horizontal="right" vertical="center"/>
    </xf>
    <xf numFmtId="0" fontId="25" fillId="2" borderId="2" xfId="49" applyFont="1" applyFill="1" applyBorder="1" applyAlignment="1">
      <alignment horizontal="right" vertical="center"/>
    </xf>
    <xf numFmtId="179" fontId="25" fillId="5" borderId="2" xfId="49" applyNumberFormat="1" applyFont="1" applyFill="1" applyBorder="1" applyAlignment="1">
      <alignment vertical="center"/>
    </xf>
    <xf numFmtId="185" fontId="25" fillId="5" borderId="2" xfId="49" applyNumberFormat="1" applyFont="1" applyFill="1" applyBorder="1" applyAlignment="1">
      <alignment horizontal="right" vertical="center"/>
    </xf>
    <xf numFmtId="185" fontId="25" fillId="2" borderId="2" xfId="49" applyNumberFormat="1" applyFont="1" applyFill="1" applyBorder="1" applyAlignment="1">
      <alignment horizontal="right" vertical="center"/>
    </xf>
    <xf numFmtId="0" fontId="20" fillId="3" borderId="2" xfId="49" applyFont="1" applyFill="1" applyBorder="1" applyAlignment="1">
      <alignment horizontal="center" vertical="center"/>
    </xf>
    <xf numFmtId="0" fontId="20" fillId="3" borderId="2" xfId="49" applyFont="1" applyFill="1" applyBorder="1" applyAlignment="1">
      <alignment horizontal="center" vertical="center" wrapText="1"/>
    </xf>
    <xf numFmtId="0" fontId="20" fillId="3" borderId="9" xfId="49" applyFont="1" applyFill="1" applyBorder="1" applyAlignment="1">
      <alignment horizontal="center" vertical="center"/>
    </xf>
    <xf numFmtId="0" fontId="20" fillId="3" borderId="10" xfId="49" applyFont="1" applyFill="1" applyBorder="1" applyAlignment="1">
      <alignment horizontal="center" vertical="center"/>
    </xf>
    <xf numFmtId="0" fontId="20" fillId="3" borderId="11" xfId="49" applyFont="1" applyFill="1" applyBorder="1" applyAlignment="1">
      <alignment horizontal="center" vertical="center"/>
    </xf>
    <xf numFmtId="0" fontId="7" fillId="3" borderId="9" xfId="49" applyFont="1" applyFill="1" applyBorder="1" applyAlignment="1">
      <alignment vertical="center"/>
    </xf>
    <xf numFmtId="0" fontId="4" fillId="3" borderId="2" xfId="49" applyFont="1" applyFill="1" applyBorder="1" applyAlignment="1">
      <alignment horizontal="right" vertical="center"/>
    </xf>
    <xf numFmtId="183" fontId="4" fillId="3" borderId="2" xfId="49" applyNumberFormat="1" applyFont="1" applyFill="1" applyBorder="1" applyAlignment="1">
      <alignment horizontal="right" vertical="center"/>
    </xf>
    <xf numFmtId="179" fontId="4" fillId="3" borderId="2" xfId="49" applyNumberFormat="1" applyFont="1" applyFill="1" applyBorder="1" applyAlignment="1">
      <alignment horizontal="right" vertical="center"/>
    </xf>
    <xf numFmtId="0" fontId="4" fillId="3" borderId="9" xfId="49" applyFont="1" applyFill="1" applyBorder="1" applyAlignment="1">
      <alignment vertical="center"/>
    </xf>
    <xf numFmtId="0" fontId="4" fillId="3" borderId="11" xfId="49" applyFont="1" applyFill="1" applyBorder="1" applyAlignment="1">
      <alignment vertical="center" wrapText="1"/>
    </xf>
    <xf numFmtId="0" fontId="7" fillId="2" borderId="0" xfId="49" applyFont="1" applyFill="1" applyAlignment="1">
      <alignment horizontal="right"/>
    </xf>
    <xf numFmtId="0" fontId="7" fillId="2" borderId="0" xfId="49" applyFont="1" applyFill="1"/>
    <xf numFmtId="0" fontId="7" fillId="2" borderId="0" xfId="49" applyFont="1" applyFill="1" applyAlignment="1">
      <alignment horizontal="center"/>
    </xf>
    <xf numFmtId="0" fontId="8" fillId="3" borderId="2" xfId="49" applyFont="1" applyFill="1" applyBorder="1"/>
    <xf numFmtId="0" fontId="8" fillId="3" borderId="2" xfId="49" applyFont="1" applyFill="1" applyBorder="1" applyAlignment="1">
      <alignment horizontal="center"/>
    </xf>
    <xf numFmtId="176" fontId="7" fillId="2" borderId="2" xfId="49" applyNumberFormat="1" applyFont="1" applyFill="1" applyBorder="1"/>
    <xf numFmtId="176" fontId="7" fillId="4" borderId="2" xfId="49" applyNumberFormat="1" applyFont="1" applyFill="1" applyBorder="1" applyAlignment="1">
      <alignment horizontal="right"/>
    </xf>
    <xf numFmtId="0" fontId="7" fillId="3" borderId="2" xfId="49" applyFont="1" applyFill="1" applyBorder="1" applyAlignment="1">
      <alignment horizontal="right" vertical="center" wrapText="1"/>
    </xf>
    <xf numFmtId="0" fontId="13" fillId="2" borderId="0" xfId="49" applyFont="1" applyFill="1" applyAlignment="1">
      <alignment horizontal="center" vertical="center"/>
    </xf>
    <xf numFmtId="179" fontId="7" fillId="2" borderId="2" xfId="49" applyNumberFormat="1" applyFont="1" applyFill="1" applyBorder="1"/>
    <xf numFmtId="179" fontId="7" fillId="5" borderId="2" xfId="49" applyNumberFormat="1" applyFont="1" applyFill="1" applyBorder="1"/>
    <xf numFmtId="179" fontId="7" fillId="5" borderId="2" xfId="49" applyNumberFormat="1" applyFont="1" applyFill="1" applyBorder="1" applyAlignment="1">
      <alignment horizontal="right"/>
    </xf>
    <xf numFmtId="176" fontId="7" fillId="5" borderId="2" xfId="49" applyNumberFormat="1" applyFont="1" applyFill="1" applyBorder="1" applyAlignment="1">
      <alignment horizontal="right"/>
    </xf>
    <xf numFmtId="0" fontId="7" fillId="2" borderId="1" xfId="49" applyFont="1" applyFill="1" applyBorder="1" applyAlignment="1">
      <alignment horizontal="center" vertical="center" wrapText="1"/>
    </xf>
    <xf numFmtId="177" fontId="7" fillId="5" borderId="22" xfId="49" applyNumberFormat="1" applyFont="1" applyFill="1" applyBorder="1" applyAlignment="1">
      <alignment horizontal="right"/>
    </xf>
    <xf numFmtId="179" fontId="7" fillId="3" borderId="2" xfId="49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vertical="center"/>
    </xf>
    <xf numFmtId="179" fontId="7" fillId="2" borderId="22" xfId="49" applyNumberFormat="1" applyFont="1" applyFill="1" applyBorder="1"/>
    <xf numFmtId="0" fontId="7" fillId="2" borderId="1" xfId="49" applyFont="1" applyFill="1" applyBorder="1" applyAlignment="1">
      <alignment horizontal="center"/>
    </xf>
    <xf numFmtId="0" fontId="7" fillId="2" borderId="1" xfId="49" applyFont="1" applyFill="1" applyBorder="1"/>
    <xf numFmtId="0" fontId="7" fillId="3" borderId="9" xfId="49" applyFont="1" applyFill="1" applyBorder="1" applyAlignment="1">
      <alignment horizontal="center" vertical="center" wrapText="1"/>
    </xf>
    <xf numFmtId="0" fontId="7" fillId="3" borderId="10" xfId="49" applyFont="1" applyFill="1" applyBorder="1" applyAlignment="1">
      <alignment horizontal="center" vertical="center" wrapText="1"/>
    </xf>
    <xf numFmtId="0" fontId="7" fillId="3" borderId="11" xfId="49" applyFont="1" applyFill="1" applyBorder="1" applyAlignment="1">
      <alignment horizontal="center" vertical="center" wrapText="1"/>
    </xf>
    <xf numFmtId="179" fontId="4" fillId="3" borderId="2" xfId="49" applyNumberFormat="1" applyFont="1" applyFill="1" applyBorder="1" applyAlignment="1">
      <alignment horizontal="center" vertical="center"/>
    </xf>
    <xf numFmtId="0" fontId="7" fillId="3" borderId="9" xfId="49" applyFont="1" applyFill="1" applyBorder="1" applyAlignment="1">
      <alignment horizontal="center" vertical="center"/>
    </xf>
    <xf numFmtId="0" fontId="7" fillId="3" borderId="10" xfId="49" applyFont="1" applyFill="1" applyBorder="1" applyAlignment="1">
      <alignment horizontal="center" vertical="center"/>
    </xf>
    <xf numFmtId="0" fontId="7" fillId="3" borderId="11" xfId="49" applyFont="1" applyFill="1" applyBorder="1" applyAlignment="1">
      <alignment horizontal="center" vertical="center"/>
    </xf>
    <xf numFmtId="0" fontId="10" fillId="2" borderId="0" xfId="49" applyFont="1" applyFill="1"/>
    <xf numFmtId="0" fontId="7" fillId="2" borderId="1" xfId="49" applyFont="1" applyFill="1" applyBorder="1" applyAlignment="1">
      <alignment horizontal="right"/>
    </xf>
    <xf numFmtId="0" fontId="7" fillId="2" borderId="0" xfId="49" applyFont="1" applyFill="1" applyAlignment="1">
      <alignment horizontal="center" vertical="center" wrapText="1"/>
    </xf>
    <xf numFmtId="0" fontId="7" fillId="3" borderId="23" xfId="49" applyFont="1" applyFill="1" applyBorder="1" applyAlignment="1">
      <alignment horizontal="left" vertical="center"/>
    </xf>
    <xf numFmtId="0" fontId="7" fillId="3" borderId="24" xfId="49" applyFont="1" applyFill="1" applyBorder="1" applyAlignment="1">
      <alignment horizontal="left" vertical="center"/>
    </xf>
    <xf numFmtId="177" fontId="7" fillId="2" borderId="14" xfId="49" applyNumberFormat="1" applyFont="1" applyFill="1" applyBorder="1" applyAlignment="1">
      <alignment horizontal="right" vertical="center"/>
    </xf>
    <xf numFmtId="0" fontId="7" fillId="3" borderId="17" xfId="49" applyFont="1" applyFill="1" applyBorder="1" applyAlignment="1">
      <alignment horizontal="left" vertical="center"/>
    </xf>
    <xf numFmtId="177" fontId="7" fillId="3" borderId="2" xfId="49" applyNumberFormat="1" applyFont="1" applyFill="1" applyBorder="1" applyAlignment="1">
      <alignment horizontal="center" vertical="center"/>
    </xf>
    <xf numFmtId="0" fontId="7" fillId="3" borderId="5" xfId="49" applyFont="1" applyFill="1" applyBorder="1" applyAlignment="1">
      <alignment horizontal="left" vertical="center"/>
    </xf>
    <xf numFmtId="0" fontId="7" fillId="3" borderId="21" xfId="49" applyFont="1" applyFill="1" applyBorder="1" applyAlignment="1">
      <alignment horizontal="left" vertical="center"/>
    </xf>
    <xf numFmtId="177" fontId="7" fillId="5" borderId="21" xfId="49" applyNumberFormat="1" applyFont="1" applyFill="1" applyBorder="1" applyAlignment="1">
      <alignment horizontal="right" vertical="center"/>
    </xf>
    <xf numFmtId="177" fontId="7" fillId="2" borderId="21" xfId="49" applyNumberFormat="1" applyFont="1" applyFill="1" applyBorder="1" applyAlignment="1">
      <alignment horizontal="right" vertical="center"/>
    </xf>
    <xf numFmtId="0" fontId="26" fillId="2" borderId="0" xfId="49" applyFont="1" applyFill="1" applyAlignment="1">
      <alignment horizontal="center" vertical="center"/>
    </xf>
    <xf numFmtId="0" fontId="27" fillId="2" borderId="0" xfId="49" applyFont="1" applyFill="1" applyAlignment="1">
      <alignment horizontal="center" vertical="center"/>
    </xf>
    <xf numFmtId="0" fontId="12" fillId="2" borderId="0" xfId="49" applyFont="1" applyFill="1" applyAlignment="1">
      <alignment horizontal="center" vertical="center"/>
    </xf>
    <xf numFmtId="49" fontId="7" fillId="2" borderId="18" xfId="49" applyNumberFormat="1" applyFont="1" applyFill="1" applyBorder="1" applyAlignment="1">
      <alignment horizontal="left" vertical="center" wrapText="1"/>
    </xf>
    <xf numFmtId="49" fontId="7" fillId="2" borderId="18" xfId="49" applyNumberFormat="1" applyFont="1" applyFill="1" applyBorder="1" applyAlignment="1">
      <alignment horizontal="center" vertical="center" wrapText="1"/>
    </xf>
    <xf numFmtId="0" fontId="7" fillId="2" borderId="18" xfId="49" applyFont="1" applyFill="1" applyBorder="1" applyAlignment="1">
      <alignment horizontal="right" vertical="center"/>
    </xf>
    <xf numFmtId="0" fontId="7" fillId="3" borderId="6" xfId="49" applyFont="1" applyFill="1" applyBorder="1" applyAlignment="1">
      <alignment horizontal="center" vertical="center" wrapText="1"/>
    </xf>
    <xf numFmtId="0" fontId="12" fillId="3" borderId="6" xfId="49" applyFont="1" applyFill="1" applyBorder="1" applyAlignment="1">
      <alignment horizontal="center" vertical="center" wrapText="1"/>
    </xf>
    <xf numFmtId="0" fontId="7" fillId="3" borderId="6" xfId="49" applyFont="1" applyFill="1" applyBorder="1" applyAlignment="1">
      <alignment horizontal="left" vertical="center"/>
    </xf>
    <xf numFmtId="177" fontId="7" fillId="3" borderId="6" xfId="49" applyNumberFormat="1" applyFont="1" applyFill="1" applyBorder="1" applyAlignment="1">
      <alignment horizontal="center" vertical="center"/>
    </xf>
    <xf numFmtId="0" fontId="12" fillId="2" borderId="8" xfId="49" applyFont="1" applyFill="1" applyBorder="1"/>
    <xf numFmtId="0" fontId="28" fillId="2" borderId="0" xfId="49" applyFont="1" applyFill="1" applyAlignment="1">
      <alignment horizontal="center" vertical="center"/>
    </xf>
    <xf numFmtId="0" fontId="7" fillId="2" borderId="0" xfId="49" applyFont="1" applyFill="1" applyAlignment="1">
      <alignment horizontal="left" vertical="center"/>
    </xf>
    <xf numFmtId="176" fontId="7" fillId="2" borderId="0" xfId="49" applyNumberFormat="1" applyFont="1" applyFill="1" applyAlignment="1">
      <alignment horizontal="right" vertical="center"/>
    </xf>
    <xf numFmtId="0" fontId="29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horizontal="left" vertical="center"/>
    </xf>
    <xf numFmtId="0" fontId="29" fillId="2" borderId="0" xfId="49" applyFont="1" applyFill="1" applyAlignment="1">
      <alignment horizontal="right" vertical="center"/>
    </xf>
    <xf numFmtId="0" fontId="29" fillId="2" borderId="0" xfId="49" applyFont="1" applyFill="1" applyAlignment="1">
      <alignment horizontal="left" vertical="center"/>
    </xf>
    <xf numFmtId="0" fontId="30" fillId="2" borderId="0" xfId="49" applyFont="1" applyFill="1" applyAlignment="1">
      <alignment horizontal="center" vertical="center"/>
    </xf>
    <xf numFmtId="0" fontId="13" fillId="2" borderId="0" xfId="49" applyFont="1" applyFill="1" applyAlignment="1">
      <alignment horizontal="left" vertical="center"/>
    </xf>
    <xf numFmtId="49" fontId="13" fillId="2" borderId="0" xfId="49" applyNumberFormat="1" applyFont="1" applyFill="1" applyAlignment="1">
      <alignment horizontal="left" vertical="center" wrapText="1"/>
    </xf>
    <xf numFmtId="0" fontId="13" fillId="2" borderId="0" xfId="49" applyFont="1" applyFill="1" applyAlignment="1">
      <alignment vertical="center" wrapText="1"/>
    </xf>
    <xf numFmtId="0" fontId="13" fillId="2" borderId="0" xfId="49" applyFont="1" applyFill="1" applyAlignment="1">
      <alignment horizontal="right" vertical="center"/>
    </xf>
    <xf numFmtId="176" fontId="29" fillId="2" borderId="0" xfId="49" applyNumberFormat="1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zoomScalePageLayoutView="60" topLeftCell="A3" workbookViewId="0">
      <selection activeCell="A1" sqref="A1"/>
    </sheetView>
  </sheetViews>
  <sheetFormatPr defaultColWidth="8" defaultRowHeight="14.25"/>
  <cols>
    <col min="1" max="1" width="20.9333333333333" style="1"/>
    <col min="2" max="2" width="5.45" style="1"/>
    <col min="3" max="3" width="5.875" style="1"/>
    <col min="4" max="4" width="4.15833333333333" style="1"/>
    <col min="5" max="5" width="7.025" style="1"/>
    <col min="6" max="6" width="10.4666666666667" style="1"/>
    <col min="7" max="7" width="11.9" style="1"/>
    <col min="8" max="8" width="5.15833333333333" style="1"/>
    <col min="9" max="9" width="9.89166666666667" style="1"/>
    <col min="10" max="10" width="8.31666666666667" style="1"/>
    <col min="11" max="13" width="7.74166666666667" style="1"/>
    <col min="14" max="14" width="20.075" style="1"/>
    <col min="15" max="15" width="9.75" style="1"/>
  </cols>
  <sheetData>
    <row r="1" hidden="1" customHeight="1" spans="1:15">
      <c r="A1" s="292"/>
      <c r="B1" s="292"/>
      <c r="C1" s="293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hidden="1" customHeight="1" spans="1:15">
      <c r="A2" s="294"/>
      <c r="B2" s="295"/>
      <c r="C2" s="295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ht="25.5" customHeight="1" spans="1:15">
      <c r="A3" s="119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ht="42.75" customHeight="1" spans="1: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ht="35.25" customHeight="1" spans="1:15">
      <c r="A5" s="296" t="s">
        <v>0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</row>
    <row r="6" ht="42.75" customHeight="1" spans="1:15">
      <c r="A6" s="292"/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</row>
    <row r="7" ht="42.75" customHeight="1" spans="1:15">
      <c r="A7" s="247"/>
      <c r="B7" s="247"/>
      <c r="C7" s="247"/>
      <c r="D7" s="247"/>
      <c r="E7" s="297" t="s">
        <v>1</v>
      </c>
      <c r="F7" s="297"/>
      <c r="G7" s="298"/>
      <c r="H7" s="299"/>
      <c r="I7" s="299"/>
      <c r="J7" s="299"/>
      <c r="K7" s="247"/>
      <c r="L7" s="247"/>
      <c r="M7" s="247"/>
      <c r="N7" s="247"/>
      <c r="O7" s="247"/>
    </row>
    <row r="8" spans="1:15">
      <c r="A8" s="247"/>
      <c r="B8" s="247"/>
      <c r="C8" s="247"/>
      <c r="D8" s="247"/>
      <c r="E8" s="297"/>
      <c r="F8" s="297"/>
      <c r="G8" s="300"/>
      <c r="H8" s="300"/>
      <c r="I8" s="300"/>
      <c r="J8" s="300"/>
      <c r="K8" s="247"/>
      <c r="L8" s="247"/>
      <c r="M8" s="247"/>
      <c r="N8" s="247"/>
      <c r="O8" s="247"/>
    </row>
    <row r="9" ht="42.75" customHeight="1" spans="1:15">
      <c r="A9" s="247"/>
      <c r="B9" s="247"/>
      <c r="C9" s="247"/>
      <c r="D9" s="247"/>
      <c r="E9" s="298" t="s">
        <v>2</v>
      </c>
      <c r="F9" s="297"/>
      <c r="G9" s="298"/>
      <c r="H9" s="299"/>
      <c r="I9" s="297" t="s">
        <v>3</v>
      </c>
      <c r="J9" s="297"/>
      <c r="K9" s="298"/>
      <c r="L9" s="299"/>
      <c r="M9" s="299"/>
      <c r="N9" s="247"/>
      <c r="O9" s="247"/>
    </row>
    <row r="10" spans="1:15">
      <c r="A10" s="247"/>
      <c r="B10" s="247"/>
      <c r="C10" s="247"/>
      <c r="D10" s="247"/>
      <c r="E10" s="297"/>
      <c r="F10" s="297"/>
      <c r="G10" s="300"/>
      <c r="H10" s="300"/>
      <c r="I10" s="297"/>
      <c r="J10" s="297"/>
      <c r="K10" s="247"/>
      <c r="L10" s="247"/>
      <c r="M10" s="247"/>
      <c r="N10" s="247"/>
      <c r="O10" s="247"/>
    </row>
    <row r="11" ht="42.75" customHeight="1" spans="1:15">
      <c r="A11" s="247"/>
      <c r="B11" s="247"/>
      <c r="C11" s="247"/>
      <c r="D11" s="247"/>
      <c r="E11" s="298" t="s">
        <v>4</v>
      </c>
      <c r="F11" s="297"/>
      <c r="G11" s="298"/>
      <c r="H11" s="299"/>
      <c r="I11" s="297" t="s">
        <v>5</v>
      </c>
      <c r="J11" s="297"/>
      <c r="K11" s="298"/>
      <c r="L11" s="299"/>
      <c r="M11" s="299"/>
      <c r="N11" s="247"/>
      <c r="O11" s="247"/>
    </row>
    <row r="12" ht="42.75" customHeight="1" spans="1:15">
      <c r="A12" s="292"/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</row>
    <row r="13" ht="42.75" customHeight="1" spans="1:15">
      <c r="A13" s="292" t="s">
        <v>6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</row>
    <row r="14" ht="42.75" customHeight="1" spans="1:15">
      <c r="A14" s="292" t="s">
        <v>7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</row>
    <row r="15" ht="12.75" customHeight="1" spans="1:15">
      <c r="A15" s="292"/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301"/>
    </row>
  </sheetData>
  <mergeCells count="14">
    <mergeCell ref="B2:C2"/>
    <mergeCell ref="A5:N5"/>
    <mergeCell ref="E7:F7"/>
    <mergeCell ref="G7:J7"/>
    <mergeCell ref="E9:F9"/>
    <mergeCell ref="G9:H9"/>
    <mergeCell ref="I9:J9"/>
    <mergeCell ref="K9:M9"/>
    <mergeCell ref="E11:F11"/>
    <mergeCell ref="G11:H11"/>
    <mergeCell ref="I11:J11"/>
    <mergeCell ref="K11:M11"/>
    <mergeCell ref="A13:N13"/>
    <mergeCell ref="A14:N14"/>
  </mergeCells>
  <printOptions horizontalCentered="1"/>
  <pageMargins left="1.18110236220472" right="1.18110236220472" top="1.18110236220472" bottom="1.18110236220472" header="0.51181" footer="0.51181"/>
  <pageSetup paperSize="9" scale="9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zoomScalePageLayoutView="60" workbookViewId="0">
      <pane topLeftCell="D6" activePane="bottomRight" state="frozen"/>
      <selection activeCell="A1" sqref="A1:S1"/>
    </sheetView>
  </sheetViews>
  <sheetFormatPr defaultColWidth="8" defaultRowHeight="14.25"/>
  <cols>
    <col min="1" max="1" width="18.3583333333333" style="1"/>
    <col min="2" max="2" width="4.59166666666667" style="1"/>
    <col min="3" max="3" width="6.88333333333333" style="1"/>
    <col min="4" max="5" width="17.2083333333333" style="1"/>
    <col min="6" max="6" width="15.775" style="1"/>
    <col min="7" max="8" width="17.2083333333333" style="1"/>
    <col min="9" max="9" width="15.775" style="1"/>
    <col min="10" max="11" width="17.2083333333333" style="1"/>
    <col min="12" max="12" width="15.775" style="1"/>
    <col min="13" max="13" width="17.2083333333333" style="1"/>
    <col min="14" max="16" width="15.775" style="1"/>
    <col min="17" max="19" width="17.2083333333333" style="1"/>
  </cols>
  <sheetData>
    <row r="1" ht="37.5" customHeight="1" spans="1:19">
      <c r="A1" s="154" t="s">
        <v>252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ht="15.75" customHeight="1" spans="1:19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9" t="s">
        <v>24</v>
      </c>
    </row>
    <row r="3" ht="15.75" customHeight="1" spans="1:19">
      <c r="A3" s="71" t="s">
        <v>1</v>
      </c>
      <c r="B3" s="25" t="s">
        <v>52</v>
      </c>
      <c r="C3" s="70"/>
      <c r="D3" s="70"/>
      <c r="E3" s="70"/>
      <c r="F3" s="204"/>
      <c r="G3" s="24"/>
      <c r="H3" s="24"/>
      <c r="I3" s="24"/>
      <c r="J3" s="24"/>
      <c r="K3" s="208"/>
      <c r="L3" s="71"/>
      <c r="M3" s="71"/>
      <c r="N3" s="71"/>
      <c r="O3" s="71"/>
      <c r="P3" s="209"/>
      <c r="Q3" s="209"/>
      <c r="R3" s="209"/>
      <c r="S3" s="71" t="s">
        <v>203</v>
      </c>
    </row>
    <row r="4" ht="15.75" customHeight="1" spans="1:19">
      <c r="A4" s="27" t="s">
        <v>109</v>
      </c>
      <c r="B4" s="27"/>
      <c r="C4" s="27" t="s">
        <v>110</v>
      </c>
      <c r="D4" s="29" t="s">
        <v>132</v>
      </c>
      <c r="E4" s="29"/>
      <c r="F4" s="29"/>
      <c r="G4" s="29" t="s">
        <v>133</v>
      </c>
      <c r="H4" s="29"/>
      <c r="I4" s="29"/>
      <c r="J4" s="29" t="s">
        <v>134</v>
      </c>
      <c r="K4" s="29"/>
      <c r="L4" s="29"/>
      <c r="M4" s="29" t="s">
        <v>112</v>
      </c>
      <c r="N4" s="29"/>
      <c r="O4" s="29"/>
      <c r="P4" s="29"/>
      <c r="Q4" s="29"/>
      <c r="R4" s="29"/>
      <c r="S4" s="29"/>
    </row>
    <row r="5" ht="37.5" customHeight="1" spans="1:19">
      <c r="A5" s="27"/>
      <c r="B5" s="27"/>
      <c r="C5" s="27"/>
      <c r="D5" s="27" t="s">
        <v>135</v>
      </c>
      <c r="E5" s="27" t="s">
        <v>136</v>
      </c>
      <c r="F5" s="27" t="s">
        <v>137</v>
      </c>
      <c r="G5" s="27" t="s">
        <v>135</v>
      </c>
      <c r="H5" s="27" t="s">
        <v>136</v>
      </c>
      <c r="I5" s="27" t="s">
        <v>137</v>
      </c>
      <c r="J5" s="27" t="s">
        <v>135</v>
      </c>
      <c r="K5" s="27" t="s">
        <v>136</v>
      </c>
      <c r="L5" s="27" t="s">
        <v>137</v>
      </c>
      <c r="M5" s="27" t="s">
        <v>135</v>
      </c>
      <c r="N5" s="27" t="s">
        <v>138</v>
      </c>
      <c r="O5" s="27" t="s">
        <v>115</v>
      </c>
      <c r="P5" s="27" t="s">
        <v>139</v>
      </c>
      <c r="Q5" s="27" t="s">
        <v>117</v>
      </c>
      <c r="R5" s="27" t="s">
        <v>118</v>
      </c>
      <c r="S5" s="27" t="s">
        <v>119</v>
      </c>
    </row>
    <row r="6" ht="15.75" customHeight="1" spans="1:19">
      <c r="A6" s="205" t="s">
        <v>204</v>
      </c>
      <c r="B6" s="206"/>
      <c r="C6" s="10" t="s">
        <v>65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6"/>
      <c r="O6" s="196"/>
      <c r="P6" s="196"/>
      <c r="Q6" s="195"/>
      <c r="R6" s="195"/>
      <c r="S6" s="195"/>
    </row>
    <row r="7" ht="15.75" customHeight="1" spans="1:19">
      <c r="A7" s="11" t="s">
        <v>205</v>
      </c>
      <c r="B7" s="207"/>
      <c r="C7" s="10" t="s">
        <v>206</v>
      </c>
      <c r="D7" s="33">
        <v>0</v>
      </c>
      <c r="E7" s="33">
        <v>0</v>
      </c>
      <c r="F7" s="32">
        <f>IF(E7=0,0,ROUND(D7/E7,10))</f>
        <v>0</v>
      </c>
      <c r="G7" s="33">
        <v>0</v>
      </c>
      <c r="H7" s="33">
        <v>0</v>
      </c>
      <c r="I7" s="32">
        <f>IF(H7=0,0,ROUND(G7/H7,10))</f>
        <v>0</v>
      </c>
      <c r="J7" s="33">
        <v>0</v>
      </c>
      <c r="K7" s="33">
        <v>0</v>
      </c>
      <c r="L7" s="32">
        <f>IF(K7=0,0,ROUND(J7/K7,10))</f>
        <v>0</v>
      </c>
      <c r="M7" s="33">
        <v>0</v>
      </c>
      <c r="N7" s="32">
        <f>ROUND((F7+I7+L7)/3,10)</f>
        <v>0</v>
      </c>
      <c r="O7" s="148">
        <v>0</v>
      </c>
      <c r="P7" s="32">
        <f>ROUND(N7+O7,10)</f>
        <v>0</v>
      </c>
      <c r="Q7" s="43">
        <f>IF(P7=0,0,ROUND(M7/P7,0))</f>
        <v>0</v>
      </c>
      <c r="R7" s="33">
        <v>0</v>
      </c>
      <c r="S7" s="43">
        <f>Q7-R7</f>
        <v>0</v>
      </c>
    </row>
    <row r="8" ht="15.75" customHeight="1" spans="1:19">
      <c r="A8" s="11" t="s">
        <v>207</v>
      </c>
      <c r="B8" s="207"/>
      <c r="C8" s="10" t="s">
        <v>143</v>
      </c>
      <c r="D8" s="30">
        <v>0</v>
      </c>
      <c r="E8" s="30">
        <v>0</v>
      </c>
      <c r="F8" s="32">
        <f>IF(E8=0,0,ROUND(D8/E8,10))</f>
        <v>0</v>
      </c>
      <c r="G8" s="30">
        <v>0</v>
      </c>
      <c r="H8" s="30">
        <v>0</v>
      </c>
      <c r="I8" s="32">
        <f>IF(H8=0,0,ROUND(G8/H8,10))</f>
        <v>0</v>
      </c>
      <c r="J8" s="30">
        <v>0</v>
      </c>
      <c r="K8" s="30">
        <v>0</v>
      </c>
      <c r="L8" s="32">
        <f>IF(K8=0,0,ROUND(J8/K8,10))</f>
        <v>0</v>
      </c>
      <c r="M8" s="30">
        <v>0</v>
      </c>
      <c r="N8" s="32">
        <f>ROUND((F8+I8+L8)/3,10)</f>
        <v>0</v>
      </c>
      <c r="O8" s="148">
        <v>0</v>
      </c>
      <c r="P8" s="32">
        <f>ROUND(N8+O8,10)</f>
        <v>0</v>
      </c>
      <c r="Q8" s="35">
        <f>IF(P8=0,0,ROUND(M8/P8,2))</f>
        <v>0</v>
      </c>
      <c r="R8" s="30">
        <v>0</v>
      </c>
      <c r="S8" s="35">
        <f>Q8-R8</f>
        <v>0</v>
      </c>
    </row>
    <row r="9" ht="15.75" customHeight="1" spans="1:19">
      <c r="A9" s="11" t="s">
        <v>253</v>
      </c>
      <c r="B9" s="207"/>
      <c r="C9" s="10" t="s">
        <v>143</v>
      </c>
      <c r="D9" s="30">
        <v>0</v>
      </c>
      <c r="E9" s="30">
        <v>0</v>
      </c>
      <c r="F9" s="32">
        <f>IF(E9=0,0,ROUND(D9/E9,10))</f>
        <v>0</v>
      </c>
      <c r="G9" s="30">
        <v>0</v>
      </c>
      <c r="H9" s="30">
        <v>0</v>
      </c>
      <c r="I9" s="32">
        <f>IF(H9=0,0,ROUND(G9/H9,10))</f>
        <v>0</v>
      </c>
      <c r="J9" s="30">
        <v>0</v>
      </c>
      <c r="K9" s="30">
        <v>0</v>
      </c>
      <c r="L9" s="32">
        <f>IF(K9=0,0,ROUND(J9/K9,10))</f>
        <v>0</v>
      </c>
      <c r="M9" s="30">
        <v>0</v>
      </c>
      <c r="N9" s="32">
        <f>ROUND((F9+I9+L9)/3,10)</f>
        <v>0</v>
      </c>
      <c r="O9" s="148">
        <v>0</v>
      </c>
      <c r="P9" s="32">
        <f>ROUND(N9+O9,10)</f>
        <v>0</v>
      </c>
      <c r="Q9" s="35">
        <f>IF(P9=0,0,ROUND(M9/P9,2))</f>
        <v>0</v>
      </c>
      <c r="R9" s="30">
        <v>0</v>
      </c>
      <c r="S9" s="35">
        <f>Q9-R9</f>
        <v>0</v>
      </c>
    </row>
    <row r="10" ht="15.75" customHeight="1" spans="1:19">
      <c r="A10" s="11" t="s">
        <v>210</v>
      </c>
      <c r="B10" s="207"/>
      <c r="C10" s="10" t="s">
        <v>65</v>
      </c>
      <c r="D10" s="195"/>
      <c r="E10" s="195"/>
      <c r="F10" s="125"/>
      <c r="G10" s="195"/>
      <c r="H10" s="195"/>
      <c r="I10" s="125"/>
      <c r="J10" s="195"/>
      <c r="K10" s="195"/>
      <c r="L10" s="125"/>
      <c r="M10" s="195"/>
      <c r="N10" s="125"/>
      <c r="O10" s="125"/>
      <c r="P10" s="125"/>
      <c r="Q10" s="195"/>
      <c r="R10" s="195"/>
      <c r="S10" s="195"/>
    </row>
    <row r="11" ht="15.75" customHeight="1" spans="1:19">
      <c r="A11" s="11" t="s">
        <v>211</v>
      </c>
      <c r="B11" s="207"/>
      <c r="C11" s="10" t="s">
        <v>65</v>
      </c>
      <c r="D11" s="195"/>
      <c r="E11" s="195"/>
      <c r="F11" s="125"/>
      <c r="G11" s="195"/>
      <c r="H11" s="195"/>
      <c r="I11" s="125"/>
      <c r="J11" s="195"/>
      <c r="K11" s="195"/>
      <c r="L11" s="125"/>
      <c r="M11" s="195"/>
      <c r="N11" s="125"/>
      <c r="O11" s="125"/>
      <c r="P11" s="125"/>
      <c r="Q11" s="195"/>
      <c r="R11" s="195"/>
      <c r="S11" s="195"/>
    </row>
    <row r="12" ht="15.75" customHeight="1" spans="1:19">
      <c r="A12" s="11" t="s">
        <v>212</v>
      </c>
      <c r="B12" s="207"/>
      <c r="C12" s="10" t="s">
        <v>206</v>
      </c>
      <c r="D12" s="33">
        <v>0</v>
      </c>
      <c r="E12" s="33">
        <v>0</v>
      </c>
      <c r="F12" s="32">
        <f>IF(E12=0,0,ROUND(D12/E12,10))</f>
        <v>0</v>
      </c>
      <c r="G12" s="33">
        <v>0</v>
      </c>
      <c r="H12" s="33">
        <v>0</v>
      </c>
      <c r="I12" s="32">
        <f>IF(H12=0,0,ROUND(G12/H12,10))</f>
        <v>0</v>
      </c>
      <c r="J12" s="33">
        <v>0</v>
      </c>
      <c r="K12" s="33">
        <v>0</v>
      </c>
      <c r="L12" s="32">
        <f>IF(K12=0,0,ROUND(J12/K12,10))</f>
        <v>0</v>
      </c>
      <c r="M12" s="33">
        <v>0</v>
      </c>
      <c r="N12" s="32">
        <f>ROUND((F12+I12+L12)/3,10)</f>
        <v>0</v>
      </c>
      <c r="O12" s="148">
        <v>0</v>
      </c>
      <c r="P12" s="32">
        <f>ROUND(N12+O12,10)</f>
        <v>0</v>
      </c>
      <c r="Q12" s="43">
        <f>IF(P12=0,0,ROUND(M12/P12,0))</f>
        <v>0</v>
      </c>
      <c r="R12" s="33">
        <v>0</v>
      </c>
      <c r="S12" s="43">
        <f>Q12-R12</f>
        <v>0</v>
      </c>
    </row>
    <row r="13" ht="15.75" customHeight="1" spans="1:19">
      <c r="A13" s="11" t="s">
        <v>213</v>
      </c>
      <c r="B13" s="207"/>
      <c r="C13" s="10" t="s">
        <v>143</v>
      </c>
      <c r="D13" s="30">
        <v>0</v>
      </c>
      <c r="E13" s="30">
        <v>0</v>
      </c>
      <c r="F13" s="32">
        <f>IF(E13=0,0,ROUND(D13/E13,10))</f>
        <v>0</v>
      </c>
      <c r="G13" s="30">
        <v>0</v>
      </c>
      <c r="H13" s="30">
        <v>0</v>
      </c>
      <c r="I13" s="32">
        <f>IF(H13=0,0,ROUND(G13/H13,10))</f>
        <v>0</v>
      </c>
      <c r="J13" s="30">
        <v>0</v>
      </c>
      <c r="K13" s="30">
        <v>0</v>
      </c>
      <c r="L13" s="32">
        <f>IF(K13=0,0,ROUND(J13/K13,10))</f>
        <v>0</v>
      </c>
      <c r="M13" s="30">
        <v>0</v>
      </c>
      <c r="N13" s="32">
        <f>ROUND((F13+I13+L13)/3,10)</f>
        <v>0</v>
      </c>
      <c r="O13" s="148">
        <v>0</v>
      </c>
      <c r="P13" s="32">
        <f>ROUND(N13+O13,10)</f>
        <v>0</v>
      </c>
      <c r="Q13" s="35">
        <f>IF(P13=0,0,ROUND(M13/P13,2))</f>
        <v>0</v>
      </c>
      <c r="R13" s="30">
        <v>0</v>
      </c>
      <c r="S13" s="35">
        <f>Q13-R13</f>
        <v>0</v>
      </c>
    </row>
    <row r="14" ht="15.75" customHeight="1" spans="1:19">
      <c r="A14" s="11" t="s">
        <v>253</v>
      </c>
      <c r="B14" s="207"/>
      <c r="C14" s="10" t="s">
        <v>143</v>
      </c>
      <c r="D14" s="30">
        <v>0</v>
      </c>
      <c r="E14" s="30">
        <v>0</v>
      </c>
      <c r="F14" s="32">
        <f>IF(E14=0,0,ROUND(D14/E14,10))</f>
        <v>0</v>
      </c>
      <c r="G14" s="30">
        <v>0</v>
      </c>
      <c r="H14" s="30">
        <v>0</v>
      </c>
      <c r="I14" s="32">
        <f>IF(H14=0,0,ROUND(G14/H14,10))</f>
        <v>0</v>
      </c>
      <c r="J14" s="30">
        <v>0</v>
      </c>
      <c r="K14" s="30">
        <v>0</v>
      </c>
      <c r="L14" s="32">
        <f>IF(K14=0,0,ROUND(J14/K14,10))</f>
        <v>0</v>
      </c>
      <c r="M14" s="30">
        <v>0</v>
      </c>
      <c r="N14" s="32">
        <f>ROUND((F14+I14+L14)/3,10)</f>
        <v>0</v>
      </c>
      <c r="O14" s="148">
        <v>0</v>
      </c>
      <c r="P14" s="32">
        <f>ROUND(N14+O14,10)</f>
        <v>0</v>
      </c>
      <c r="Q14" s="35">
        <f>IF(P14=0,0,ROUND(M14/P14,2))</f>
        <v>0</v>
      </c>
      <c r="R14" s="30">
        <v>0</v>
      </c>
      <c r="S14" s="35">
        <f>Q14-R14</f>
        <v>0</v>
      </c>
    </row>
    <row r="15" ht="15.75" customHeight="1" spans="1:19">
      <c r="A15" s="11" t="s">
        <v>216</v>
      </c>
      <c r="B15" s="11"/>
      <c r="C15" s="10" t="s">
        <v>65</v>
      </c>
      <c r="D15" s="195"/>
      <c r="E15" s="195"/>
      <c r="F15" s="125"/>
      <c r="G15" s="195"/>
      <c r="H15" s="195"/>
      <c r="I15" s="125"/>
      <c r="J15" s="195"/>
      <c r="K15" s="195"/>
      <c r="L15" s="125"/>
      <c r="M15" s="195"/>
      <c r="N15" s="125"/>
      <c r="O15" s="125"/>
      <c r="P15" s="125"/>
      <c r="Q15" s="195"/>
      <c r="R15" s="195"/>
      <c r="S15" s="195"/>
    </row>
    <row r="16" ht="15.75" customHeight="1" spans="1:19">
      <c r="A16" s="11" t="s">
        <v>217</v>
      </c>
      <c r="B16" s="207"/>
      <c r="C16" s="10" t="s">
        <v>206</v>
      </c>
      <c r="D16" s="33">
        <v>0</v>
      </c>
      <c r="E16" s="33">
        <v>0</v>
      </c>
      <c r="F16" s="32">
        <f>IF(E16=0,0,ROUND(D16/E16,10))</f>
        <v>0</v>
      </c>
      <c r="G16" s="33">
        <v>0</v>
      </c>
      <c r="H16" s="33">
        <v>0</v>
      </c>
      <c r="I16" s="32">
        <f>IF(H16=0,0,ROUND(G16/H16,10))</f>
        <v>0</v>
      </c>
      <c r="J16" s="33">
        <v>0</v>
      </c>
      <c r="K16" s="33">
        <v>0</v>
      </c>
      <c r="L16" s="32">
        <f>IF(K16=0,0,ROUND(J16/K16,10))</f>
        <v>0</v>
      </c>
      <c r="M16" s="33">
        <v>0</v>
      </c>
      <c r="N16" s="32">
        <f>ROUND((F16+I16+L16)/3,10)</f>
        <v>0</v>
      </c>
      <c r="O16" s="148">
        <v>0</v>
      </c>
      <c r="P16" s="32">
        <f>ROUND(N16+O16,10)</f>
        <v>0</v>
      </c>
      <c r="Q16" s="43">
        <f>IF(P16=0,0,ROUND(M16/P16,0))</f>
        <v>0</v>
      </c>
      <c r="R16" s="33">
        <v>0</v>
      </c>
      <c r="S16" s="43">
        <f>Q16-R16</f>
        <v>0</v>
      </c>
    </row>
    <row r="17" ht="15.75" customHeight="1" spans="1:19">
      <c r="A17" s="11" t="s">
        <v>218</v>
      </c>
      <c r="B17" s="207"/>
      <c r="C17" s="10" t="s">
        <v>143</v>
      </c>
      <c r="D17" s="30">
        <v>0</v>
      </c>
      <c r="E17" s="30">
        <v>0</v>
      </c>
      <c r="F17" s="32">
        <f>IF(E17=0,0,ROUND(D17/E17,10))</f>
        <v>0</v>
      </c>
      <c r="G17" s="30">
        <v>0</v>
      </c>
      <c r="H17" s="30">
        <v>0</v>
      </c>
      <c r="I17" s="32">
        <f>IF(H17=0,0,ROUND(G17/H17,10))</f>
        <v>0</v>
      </c>
      <c r="J17" s="30">
        <v>0</v>
      </c>
      <c r="K17" s="30">
        <v>0</v>
      </c>
      <c r="L17" s="32">
        <f>IF(K17=0,0,ROUND(J17/K17,10))</f>
        <v>0</v>
      </c>
      <c r="M17" s="30">
        <v>0</v>
      </c>
      <c r="N17" s="32">
        <f>ROUND((F17+I17+L17)/3,10)</f>
        <v>0</v>
      </c>
      <c r="O17" s="148">
        <v>0</v>
      </c>
      <c r="P17" s="32">
        <f>ROUND(N17+O17,10)</f>
        <v>0</v>
      </c>
      <c r="Q17" s="35">
        <f>IF(P17=0,0,ROUND(M17/P17,2))</f>
        <v>0</v>
      </c>
      <c r="R17" s="30">
        <v>0</v>
      </c>
      <c r="S17" s="35">
        <f>Q17-R17</f>
        <v>0</v>
      </c>
    </row>
    <row r="18" ht="15.75" customHeight="1" spans="1:19">
      <c r="A18" s="11" t="s">
        <v>253</v>
      </c>
      <c r="B18" s="207"/>
      <c r="C18" s="10" t="s">
        <v>143</v>
      </c>
      <c r="D18" s="30">
        <v>0</v>
      </c>
      <c r="E18" s="30">
        <v>0</v>
      </c>
      <c r="F18" s="32">
        <f>IF(E18=0,0,ROUND(D18/E18,10))</f>
        <v>0</v>
      </c>
      <c r="G18" s="30">
        <v>0</v>
      </c>
      <c r="H18" s="30">
        <v>0</v>
      </c>
      <c r="I18" s="32">
        <f>IF(H18=0,0,ROUND(G18/H18,10))</f>
        <v>0</v>
      </c>
      <c r="J18" s="30">
        <v>0</v>
      </c>
      <c r="K18" s="30">
        <v>0</v>
      </c>
      <c r="L18" s="32">
        <f>IF(K18=0,0,ROUND(J18/K18,10))</f>
        <v>0</v>
      </c>
      <c r="M18" s="30">
        <v>0</v>
      </c>
      <c r="N18" s="32">
        <f>ROUND((F18+I18+L18)/3,10)</f>
        <v>0</v>
      </c>
      <c r="O18" s="148">
        <v>0</v>
      </c>
      <c r="P18" s="32">
        <f>ROUND(N18+O18,10)</f>
        <v>0</v>
      </c>
      <c r="Q18" s="35">
        <f>IF(P18=0,0,ROUND(M18/P18,2))</f>
        <v>0</v>
      </c>
      <c r="R18" s="30">
        <v>0</v>
      </c>
      <c r="S18" s="35">
        <f>Q18-R18</f>
        <v>0</v>
      </c>
    </row>
  </sheetData>
  <mergeCells count="21">
    <mergeCell ref="A1:S1"/>
    <mergeCell ref="B3:F3"/>
    <mergeCell ref="D4:F4"/>
    <mergeCell ref="G4:I4"/>
    <mergeCell ref="J4:L4"/>
    <mergeCell ref="M4:S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4:C5"/>
    <mergeCell ref="A4:B5"/>
  </mergeCells>
  <printOptions horizontalCentered="1"/>
  <pageMargins left="1.18110236220472" right="1.18110236220472" top="1.18110236220472" bottom="1.18110236220472" header="0.51181" footer="0.51181"/>
  <pageSetup paperSize="9" scale="45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showGridLines="0" zoomScalePageLayoutView="60" workbookViewId="0">
      <pane topLeftCell="D6" activePane="bottomRight" state="frozen"/>
      <selection activeCell="A1" sqref="A1:O1"/>
    </sheetView>
  </sheetViews>
  <sheetFormatPr defaultColWidth="8" defaultRowHeight="14.25"/>
  <cols>
    <col min="1" max="1" width="25.3833333333333" style="1"/>
    <col min="2" max="2" width="8.175" style="1"/>
    <col min="3" max="3" width="6.45" style="1"/>
    <col min="4" max="6" width="17.2083333333333" style="1"/>
    <col min="7" max="12" width="15.775" style="1"/>
    <col min="13" max="13" width="19.7916666666667" style="1"/>
    <col min="14" max="14" width="17.2083333333333" style="1"/>
    <col min="15" max="15" width="15.775" style="1"/>
  </cols>
  <sheetData>
    <row r="1" ht="37.5" customHeight="1" spans="1:15">
      <c r="A1" s="97" t="s">
        <v>254</v>
      </c>
      <c r="B1" s="191"/>
      <c r="C1" s="97"/>
      <c r="D1" s="97"/>
      <c r="E1" s="97"/>
      <c r="F1" s="192"/>
      <c r="G1" s="97"/>
      <c r="H1" s="97"/>
      <c r="I1" s="97"/>
      <c r="J1" s="97"/>
      <c r="K1" s="192"/>
      <c r="L1" s="97"/>
      <c r="M1" s="97"/>
      <c r="N1" s="97"/>
      <c r="O1" s="97"/>
    </row>
    <row r="2" ht="16.5" customHeight="1" spans="1:15">
      <c r="A2" s="193"/>
      <c r="B2" s="193"/>
      <c r="C2" s="119"/>
      <c r="D2" s="22"/>
      <c r="E2" s="22"/>
      <c r="F2" s="22"/>
      <c r="G2" s="22"/>
      <c r="H2" s="22"/>
      <c r="I2" s="22"/>
      <c r="J2" s="22"/>
      <c r="K2" s="22"/>
      <c r="L2" s="22"/>
      <c r="M2" s="22"/>
      <c r="N2" s="39" t="s">
        <v>26</v>
      </c>
      <c r="O2" s="39"/>
    </row>
    <row r="3" ht="15.75" customHeight="1" spans="1:15">
      <c r="A3" s="24" t="s">
        <v>1</v>
      </c>
      <c r="B3" s="70" t="s">
        <v>52</v>
      </c>
      <c r="C3" s="26"/>
      <c r="D3" s="26"/>
      <c r="E3" s="26"/>
      <c r="F3" s="26"/>
      <c r="G3" s="25" t="s">
        <v>53</v>
      </c>
      <c r="H3" s="24"/>
      <c r="I3" s="26"/>
      <c r="J3" s="26"/>
      <c r="K3" s="26"/>
      <c r="L3" s="26"/>
      <c r="M3" s="26"/>
      <c r="N3" s="26"/>
      <c r="O3" s="71" t="s">
        <v>74</v>
      </c>
    </row>
    <row r="4" ht="15.75" customHeight="1" spans="1:15">
      <c r="A4" s="27" t="s">
        <v>148</v>
      </c>
      <c r="B4" s="27"/>
      <c r="C4" s="27" t="s">
        <v>110</v>
      </c>
      <c r="D4" s="27" t="s">
        <v>149</v>
      </c>
      <c r="E4" s="27" t="s">
        <v>150</v>
      </c>
      <c r="F4" s="27" t="s">
        <v>75</v>
      </c>
      <c r="G4" s="27" t="s">
        <v>151</v>
      </c>
      <c r="H4" s="27"/>
      <c r="I4" s="27" t="s">
        <v>152</v>
      </c>
      <c r="J4" s="27"/>
      <c r="K4" s="27" t="s">
        <v>153</v>
      </c>
      <c r="L4" s="27"/>
      <c r="M4" s="27" t="s">
        <v>76</v>
      </c>
      <c r="N4" s="27"/>
      <c r="O4" s="27"/>
    </row>
    <row r="5" ht="39.75" customHeight="1" spans="1:15">
      <c r="A5" s="27"/>
      <c r="B5" s="27"/>
      <c r="C5" s="27"/>
      <c r="D5" s="27"/>
      <c r="E5" s="27"/>
      <c r="F5" s="27"/>
      <c r="G5" s="27" t="s">
        <v>154</v>
      </c>
      <c r="H5" s="27" t="s">
        <v>155</v>
      </c>
      <c r="I5" s="27" t="s">
        <v>156</v>
      </c>
      <c r="J5" s="27" t="s">
        <v>155</v>
      </c>
      <c r="K5" s="27" t="s">
        <v>157</v>
      </c>
      <c r="L5" s="27" t="s">
        <v>158</v>
      </c>
      <c r="M5" s="27" t="s">
        <v>118</v>
      </c>
      <c r="N5" s="27" t="s">
        <v>159</v>
      </c>
      <c r="O5" s="27" t="s">
        <v>154</v>
      </c>
    </row>
    <row r="6" ht="15.75" customHeight="1" spans="1:15">
      <c r="A6" s="194" t="s">
        <v>204</v>
      </c>
      <c r="B6" s="194"/>
      <c r="C6" s="27" t="s">
        <v>65</v>
      </c>
      <c r="D6" s="195"/>
      <c r="E6" s="195"/>
      <c r="F6" s="195"/>
      <c r="G6" s="196"/>
      <c r="H6" s="196"/>
      <c r="I6" s="196"/>
      <c r="J6" s="196"/>
      <c r="K6" s="196"/>
      <c r="L6" s="196"/>
      <c r="M6" s="195"/>
      <c r="N6" s="195"/>
      <c r="O6" s="195"/>
    </row>
    <row r="7" ht="15.75" customHeight="1" spans="1:15">
      <c r="A7" s="194" t="s">
        <v>227</v>
      </c>
      <c r="B7" s="194"/>
      <c r="C7" s="27" t="s">
        <v>130</v>
      </c>
      <c r="D7" s="197">
        <v>0</v>
      </c>
      <c r="E7" s="197">
        <v>0</v>
      </c>
      <c r="F7" s="197">
        <v>0</v>
      </c>
      <c r="G7" s="32">
        <f t="shared" ref="G7:G12" si="0">ROUND(IF(E7=0,0,F7/E7-1),10)</f>
        <v>0</v>
      </c>
      <c r="H7" s="148">
        <v>0</v>
      </c>
      <c r="I7" s="32">
        <v>0</v>
      </c>
      <c r="J7" s="32">
        <f>1-H7</f>
        <v>1</v>
      </c>
      <c r="K7" s="32">
        <f>G7*H7+I7*J7</f>
        <v>0</v>
      </c>
      <c r="L7" s="148">
        <v>0</v>
      </c>
      <c r="M7" s="32">
        <f>ROUND(F7*(1+L7),10)</f>
        <v>0</v>
      </c>
      <c r="N7" s="32">
        <f t="shared" ref="N7:N12" si="1">M7-F7</f>
        <v>0</v>
      </c>
      <c r="O7" s="32">
        <f t="shared" ref="O7:O12" si="2">ROUND(IF(F7=0,0,M7/F7-1),10)</f>
        <v>0</v>
      </c>
    </row>
    <row r="8" ht="15.75" customHeight="1" spans="1:15">
      <c r="A8" s="194" t="s">
        <v>228</v>
      </c>
      <c r="B8" s="194"/>
      <c r="C8" s="27" t="s">
        <v>206</v>
      </c>
      <c r="D8" s="34">
        <v>0</v>
      </c>
      <c r="E8" s="34">
        <v>0</v>
      </c>
      <c r="F8" s="34">
        <v>0</v>
      </c>
      <c r="G8" s="32">
        <f t="shared" si="0"/>
        <v>0</v>
      </c>
      <c r="H8" s="125"/>
      <c r="I8" s="32">
        <v>0</v>
      </c>
      <c r="J8" s="202"/>
      <c r="K8" s="202"/>
      <c r="L8" s="202"/>
      <c r="M8" s="43">
        <v>0</v>
      </c>
      <c r="N8" s="43">
        <f t="shared" si="1"/>
        <v>0</v>
      </c>
      <c r="O8" s="32">
        <f t="shared" si="2"/>
        <v>0</v>
      </c>
    </row>
    <row r="9" ht="15.75" customHeight="1" spans="1:15">
      <c r="A9" s="194" t="s">
        <v>229</v>
      </c>
      <c r="B9" s="194"/>
      <c r="C9" s="27" t="s">
        <v>143</v>
      </c>
      <c r="D9" s="35">
        <f>ROUND(IF(D8=0,0,D10/D8),2)</f>
        <v>0</v>
      </c>
      <c r="E9" s="35">
        <f>ROUND(IF(E8=0,0,E10/E8),2)</f>
        <v>0</v>
      </c>
      <c r="F9" s="35">
        <f>ROUND(IF(F8=0,0,F10/F8),2)</f>
        <v>0</v>
      </c>
      <c r="G9" s="32">
        <f t="shared" si="0"/>
        <v>0</v>
      </c>
      <c r="H9" s="148">
        <v>0</v>
      </c>
      <c r="I9" s="32">
        <v>0</v>
      </c>
      <c r="J9" s="32">
        <f>1-H9</f>
        <v>1</v>
      </c>
      <c r="K9" s="32">
        <f>G9*H9+I9*J9</f>
        <v>0</v>
      </c>
      <c r="L9" s="148">
        <v>0</v>
      </c>
      <c r="M9" s="35">
        <f>IF(M8=0,0,ROUND((M10/M8),2))</f>
        <v>0</v>
      </c>
      <c r="N9" s="35">
        <f t="shared" si="1"/>
        <v>0</v>
      </c>
      <c r="O9" s="32">
        <f t="shared" si="2"/>
        <v>0</v>
      </c>
    </row>
    <row r="10" ht="15.75" customHeight="1" spans="1:15">
      <c r="A10" s="194" t="s">
        <v>230</v>
      </c>
      <c r="B10" s="194"/>
      <c r="C10" s="27" t="s">
        <v>143</v>
      </c>
      <c r="D10" s="31">
        <v>0</v>
      </c>
      <c r="E10" s="31">
        <v>0</v>
      </c>
      <c r="F10" s="31">
        <v>0</v>
      </c>
      <c r="G10" s="32">
        <f t="shared" si="0"/>
        <v>0</v>
      </c>
      <c r="H10" s="125"/>
      <c r="I10" s="32">
        <v>0</v>
      </c>
      <c r="J10" s="125"/>
      <c r="K10" s="125"/>
      <c r="L10" s="125"/>
      <c r="M10" s="35">
        <v>0</v>
      </c>
      <c r="N10" s="35">
        <f t="shared" si="1"/>
        <v>0</v>
      </c>
      <c r="O10" s="32">
        <f t="shared" si="2"/>
        <v>0</v>
      </c>
    </row>
    <row r="11" ht="15.75" customHeight="1" spans="1:15">
      <c r="A11" s="194" t="s">
        <v>208</v>
      </c>
      <c r="B11" s="194"/>
      <c r="C11" s="27" t="s">
        <v>143</v>
      </c>
      <c r="D11" s="31">
        <v>0</v>
      </c>
      <c r="E11" s="31">
        <v>0</v>
      </c>
      <c r="F11" s="31">
        <v>0</v>
      </c>
      <c r="G11" s="32">
        <f t="shared" si="0"/>
        <v>0</v>
      </c>
      <c r="H11" s="125"/>
      <c r="I11" s="32">
        <v>0</v>
      </c>
      <c r="J11" s="125"/>
      <c r="K11" s="125"/>
      <c r="L11" s="125"/>
      <c r="M11" s="35">
        <v>0</v>
      </c>
      <c r="N11" s="35">
        <f t="shared" si="1"/>
        <v>0</v>
      </c>
      <c r="O11" s="32">
        <f t="shared" si="2"/>
        <v>0</v>
      </c>
    </row>
    <row r="12" ht="15.75" customHeight="1" spans="1:15">
      <c r="A12" s="194" t="s">
        <v>231</v>
      </c>
      <c r="B12" s="194"/>
      <c r="C12" s="27" t="s">
        <v>130</v>
      </c>
      <c r="D12" s="32">
        <f>ROUND(IF(D10=0,0,D11/D10),10)</f>
        <v>0</v>
      </c>
      <c r="E12" s="32">
        <f>ROUND(IF(E10=0,0,E11/E10),10)</f>
        <v>0</v>
      </c>
      <c r="F12" s="32">
        <f>ROUND(IF(F10=0,0,F11/F10),2)</f>
        <v>0</v>
      </c>
      <c r="G12" s="32">
        <f t="shared" si="0"/>
        <v>0</v>
      </c>
      <c r="H12" s="148">
        <v>0</v>
      </c>
      <c r="I12" s="32">
        <v>0</v>
      </c>
      <c r="J12" s="32">
        <f>1-H12</f>
        <v>1</v>
      </c>
      <c r="K12" s="32">
        <f>G12*H12+I12*J12</f>
        <v>0</v>
      </c>
      <c r="L12" s="148">
        <v>0</v>
      </c>
      <c r="M12" s="32">
        <f>IF(M10=0,0,ROUND((M11/M10),10))</f>
        <v>0</v>
      </c>
      <c r="N12" s="32">
        <f t="shared" si="1"/>
        <v>0</v>
      </c>
      <c r="O12" s="32">
        <f t="shared" si="2"/>
        <v>0</v>
      </c>
    </row>
    <row r="13" ht="15.75" customHeight="1" spans="1:15">
      <c r="A13" s="194" t="s">
        <v>210</v>
      </c>
      <c r="B13" s="194"/>
      <c r="C13" s="27" t="s">
        <v>65</v>
      </c>
      <c r="D13" s="195"/>
      <c r="E13" s="195"/>
      <c r="F13" s="195"/>
      <c r="G13" s="125"/>
      <c r="H13" s="125"/>
      <c r="I13" s="125"/>
      <c r="J13" s="125"/>
      <c r="K13" s="125"/>
      <c r="L13" s="125"/>
      <c r="M13" s="195"/>
      <c r="N13" s="195"/>
      <c r="O13" s="202"/>
    </row>
    <row r="14" ht="15.75" customHeight="1" spans="1:15">
      <c r="A14" s="194" t="s">
        <v>211</v>
      </c>
      <c r="B14" s="194"/>
      <c r="C14" s="27" t="s">
        <v>65</v>
      </c>
      <c r="D14" s="195"/>
      <c r="E14" s="195"/>
      <c r="F14" s="195"/>
      <c r="G14" s="125"/>
      <c r="H14" s="125"/>
      <c r="I14" s="125"/>
      <c r="J14" s="125"/>
      <c r="K14" s="125"/>
      <c r="L14" s="125"/>
      <c r="M14" s="195"/>
      <c r="N14" s="195"/>
      <c r="O14" s="202"/>
    </row>
    <row r="15" ht="15.75" customHeight="1" spans="1:15">
      <c r="A15" s="194" t="s">
        <v>234</v>
      </c>
      <c r="B15" s="194"/>
      <c r="C15" s="27" t="s">
        <v>206</v>
      </c>
      <c r="D15" s="34">
        <v>0</v>
      </c>
      <c r="E15" s="34">
        <v>0</v>
      </c>
      <c r="F15" s="34">
        <v>0</v>
      </c>
      <c r="G15" s="32">
        <f>ROUND(IF(E15=0,0,F15/E15-1),10)</f>
        <v>0</v>
      </c>
      <c r="H15" s="148">
        <v>0</v>
      </c>
      <c r="I15" s="32">
        <v>0</v>
      </c>
      <c r="J15" s="32">
        <f>1-H15</f>
        <v>1</v>
      </c>
      <c r="K15" s="32">
        <f>G15*H15+I15*J15</f>
        <v>0</v>
      </c>
      <c r="L15" s="148">
        <v>0</v>
      </c>
      <c r="M15" s="43">
        <f>ROUND(F15*(1+L15),0)</f>
        <v>0</v>
      </c>
      <c r="N15" s="43">
        <f>M15-F15</f>
        <v>0</v>
      </c>
      <c r="O15" s="32">
        <f>ROUND(IF(F15=0,0,M15/F15-1),10)</f>
        <v>0</v>
      </c>
    </row>
    <row r="16" ht="15.75" customHeight="1" spans="1:15">
      <c r="A16" s="194" t="s">
        <v>235</v>
      </c>
      <c r="B16" s="194"/>
      <c r="C16" s="27" t="s">
        <v>143</v>
      </c>
      <c r="D16" s="35">
        <f>ROUND(IF(D15=0,0,D17/D15),2)</f>
        <v>0</v>
      </c>
      <c r="E16" s="35">
        <f>ROUND(IF(E15=0,0,E17/E15),2)</f>
        <v>0</v>
      </c>
      <c r="F16" s="35">
        <f>ROUND(IF(F15=0,0,F17/F15),2)</f>
        <v>0</v>
      </c>
      <c r="G16" s="32">
        <f>ROUND(IF(E16=0,0,F16/E16-1),10)</f>
        <v>0</v>
      </c>
      <c r="H16" s="148">
        <v>0</v>
      </c>
      <c r="I16" s="32">
        <v>0</v>
      </c>
      <c r="J16" s="32">
        <f>1-H16</f>
        <v>1</v>
      </c>
      <c r="K16" s="32">
        <f>G16*H16+I16*J16</f>
        <v>0</v>
      </c>
      <c r="L16" s="148">
        <v>0</v>
      </c>
      <c r="M16" s="35">
        <f>IF(M15=0,0,ROUND((M17/M15),2))</f>
        <v>0</v>
      </c>
      <c r="N16" s="35">
        <f>M16-F16</f>
        <v>0</v>
      </c>
      <c r="O16" s="32">
        <f>ROUND(IF(F16=0,0,M16/F16-1),10)</f>
        <v>0</v>
      </c>
    </row>
    <row r="17" ht="15.75" customHeight="1" spans="1:15">
      <c r="A17" s="194" t="s">
        <v>236</v>
      </c>
      <c r="B17" s="194"/>
      <c r="C17" s="27" t="s">
        <v>143</v>
      </c>
      <c r="D17" s="31">
        <v>0</v>
      </c>
      <c r="E17" s="31">
        <v>0</v>
      </c>
      <c r="F17" s="31">
        <v>0</v>
      </c>
      <c r="G17" s="32">
        <f>ROUND(IF(E17=0,0,F17/E17-1),10)</f>
        <v>0</v>
      </c>
      <c r="H17" s="125"/>
      <c r="I17" s="32">
        <v>0</v>
      </c>
      <c r="J17" s="125"/>
      <c r="K17" s="125"/>
      <c r="L17" s="125"/>
      <c r="M17" s="35">
        <f>ROUND(F16*(1+L16),2)*ROUND(F15*(1+L15),0)</f>
        <v>0</v>
      </c>
      <c r="N17" s="35">
        <f>M17-F17</f>
        <v>0</v>
      </c>
      <c r="O17" s="32">
        <f>ROUND(IF(F17=0,0,M17/F17-1),10)</f>
        <v>0</v>
      </c>
    </row>
    <row r="18" ht="15.75" customHeight="1" spans="1:15">
      <c r="A18" s="194" t="s">
        <v>237</v>
      </c>
      <c r="B18" s="194"/>
      <c r="C18" s="27" t="s">
        <v>143</v>
      </c>
      <c r="D18" s="198">
        <v>0</v>
      </c>
      <c r="E18" s="198">
        <v>0</v>
      </c>
      <c r="F18" s="31">
        <v>0</v>
      </c>
      <c r="G18" s="32">
        <f>ROUND(IF(E18=0,0,F18/E18-1),10)</f>
        <v>0</v>
      </c>
      <c r="H18" s="199"/>
      <c r="I18" s="203">
        <v>0</v>
      </c>
      <c r="J18" s="125"/>
      <c r="K18" s="125"/>
      <c r="L18" s="125"/>
      <c r="M18" s="35">
        <f>ROUND(F16*(1+L16),2)*ROUND(F15*(1+L15),0)*ROUND(F19*(1+L19),10)</f>
        <v>0</v>
      </c>
      <c r="N18" s="35">
        <f>M18-F18</f>
        <v>0</v>
      </c>
      <c r="O18" s="32">
        <f>ROUND(IF(F18=0,0,M18/F18-1),10)</f>
        <v>0</v>
      </c>
    </row>
    <row r="19" ht="15.75" customHeight="1" spans="1:15">
      <c r="A19" s="194" t="s">
        <v>238</v>
      </c>
      <c r="B19" s="194"/>
      <c r="C19" s="27" t="s">
        <v>130</v>
      </c>
      <c r="D19" s="32">
        <f>ROUND(IF(D17=0,0,D18/D17),10)</f>
        <v>0</v>
      </c>
      <c r="E19" s="32">
        <f>ROUND(IF(E17=0,0,E18/E17),10)</f>
        <v>0</v>
      </c>
      <c r="F19" s="32">
        <f>ROUND(IF(F17=0,0,F18/F17),10)</f>
        <v>0</v>
      </c>
      <c r="G19" s="32">
        <f>ROUND(IF(E19=0,0,F19/E19-1),10)</f>
        <v>0</v>
      </c>
      <c r="H19" s="200">
        <v>0</v>
      </c>
      <c r="I19" s="203">
        <v>0</v>
      </c>
      <c r="J19" s="32">
        <f>1-H19</f>
        <v>1</v>
      </c>
      <c r="K19" s="32">
        <f>G19*H19+I19*J19</f>
        <v>0</v>
      </c>
      <c r="L19" s="200">
        <v>0</v>
      </c>
      <c r="M19" s="32">
        <f>IF(M17=0,0,ROUND((M18/M17),10))</f>
        <v>0</v>
      </c>
      <c r="N19" s="32">
        <f>M19-F19</f>
        <v>0</v>
      </c>
      <c r="O19" s="32">
        <f>ROUND(IF(F19=0,0,M19/F19-1),10)</f>
        <v>0</v>
      </c>
    </row>
    <row r="20" ht="15.75" customHeight="1" spans="1:15">
      <c r="A20" s="194" t="s">
        <v>216</v>
      </c>
      <c r="B20" s="194"/>
      <c r="C20" s="27" t="s">
        <v>65</v>
      </c>
      <c r="D20" s="194"/>
      <c r="E20" s="194"/>
      <c r="F20" s="195"/>
      <c r="G20" s="125"/>
      <c r="H20" s="199"/>
      <c r="I20" s="199"/>
      <c r="J20" s="125"/>
      <c r="K20" s="125"/>
      <c r="L20" s="199"/>
      <c r="M20" s="194"/>
      <c r="N20" s="195"/>
      <c r="O20" s="202"/>
    </row>
    <row r="21" ht="15.75" customHeight="1" spans="1:15">
      <c r="A21" s="194" t="s">
        <v>241</v>
      </c>
      <c r="B21" s="194"/>
      <c r="C21" s="27" t="s">
        <v>206</v>
      </c>
      <c r="D21" s="201">
        <v>0</v>
      </c>
      <c r="E21" s="201">
        <v>0</v>
      </c>
      <c r="F21" s="34">
        <v>0</v>
      </c>
      <c r="G21" s="32">
        <f t="shared" ref="G21:G26" si="3">ROUND(IF(E21=0,0,F21/E21-1),10)</f>
        <v>0</v>
      </c>
      <c r="H21" s="200">
        <v>0</v>
      </c>
      <c r="I21" s="203">
        <v>0</v>
      </c>
      <c r="J21" s="32">
        <f>1-H21</f>
        <v>1</v>
      </c>
      <c r="K21" s="32">
        <f>G21*H21+I21*J21</f>
        <v>0</v>
      </c>
      <c r="L21" s="200">
        <v>0</v>
      </c>
      <c r="M21" s="43">
        <f>ROUND(F21*(1+L21),0)</f>
        <v>0</v>
      </c>
      <c r="N21" s="43">
        <f t="shared" ref="N21:N26" si="4">M21-F21</f>
        <v>0</v>
      </c>
      <c r="O21" s="32">
        <f t="shared" ref="O21:O26" si="5">ROUND(IF(F21=0,0,M21/F21-1),10)</f>
        <v>0</v>
      </c>
    </row>
    <row r="22" ht="15.75" customHeight="1" spans="1:15">
      <c r="A22" s="194" t="s">
        <v>235</v>
      </c>
      <c r="B22" s="194"/>
      <c r="C22" s="27" t="s">
        <v>143</v>
      </c>
      <c r="D22" s="35">
        <f>ROUND(IF(D21=0,0,D23/D21),2)</f>
        <v>0</v>
      </c>
      <c r="E22" s="35">
        <f>ROUND(IF(E21=0,0,E23/E21),2)</f>
        <v>0</v>
      </c>
      <c r="F22" s="35">
        <f>ROUND(IF(F21=0,0,F23/F21),2)</f>
        <v>0</v>
      </c>
      <c r="G22" s="32">
        <f t="shared" si="3"/>
        <v>0</v>
      </c>
      <c r="H22" s="200">
        <v>0</v>
      </c>
      <c r="I22" s="203">
        <v>0</v>
      </c>
      <c r="J22" s="32">
        <f>1-H22</f>
        <v>1</v>
      </c>
      <c r="K22" s="32">
        <f>G22*H22+I22*J22</f>
        <v>0</v>
      </c>
      <c r="L22" s="200">
        <v>0</v>
      </c>
      <c r="M22" s="35">
        <f>IF(M21=0,0,ROUND((M23/M21),10))</f>
        <v>0</v>
      </c>
      <c r="N22" s="35">
        <f t="shared" si="4"/>
        <v>0</v>
      </c>
      <c r="O22" s="32">
        <f t="shared" si="5"/>
        <v>0</v>
      </c>
    </row>
    <row r="23" ht="15.75" customHeight="1" spans="1:15">
      <c r="A23" s="194" t="s">
        <v>242</v>
      </c>
      <c r="B23" s="194"/>
      <c r="C23" s="29" t="s">
        <v>143</v>
      </c>
      <c r="D23" s="31">
        <v>0</v>
      </c>
      <c r="E23" s="31">
        <v>0</v>
      </c>
      <c r="F23" s="31">
        <v>0</v>
      </c>
      <c r="G23" s="32">
        <f t="shared" si="3"/>
        <v>0</v>
      </c>
      <c r="H23" s="125"/>
      <c r="I23" s="32">
        <v>0</v>
      </c>
      <c r="J23" s="125"/>
      <c r="K23" s="125"/>
      <c r="L23" s="125"/>
      <c r="M23" s="35">
        <f>ROUND(F22*(1+L22),2)*ROUND(F21*(1+L21),0)</f>
        <v>0</v>
      </c>
      <c r="N23" s="35">
        <f t="shared" si="4"/>
        <v>0</v>
      </c>
      <c r="O23" s="32">
        <f t="shared" si="5"/>
        <v>0</v>
      </c>
    </row>
    <row r="24" ht="15.75" customHeight="1" spans="1:15">
      <c r="A24" s="194" t="s">
        <v>237</v>
      </c>
      <c r="B24" s="194"/>
      <c r="C24" s="27" t="s">
        <v>143</v>
      </c>
      <c r="D24" s="31">
        <v>0</v>
      </c>
      <c r="E24" s="31">
        <v>0</v>
      </c>
      <c r="F24" s="31">
        <v>0</v>
      </c>
      <c r="G24" s="32">
        <f t="shared" si="3"/>
        <v>0</v>
      </c>
      <c r="H24" s="125"/>
      <c r="I24" s="32">
        <v>0</v>
      </c>
      <c r="J24" s="125"/>
      <c r="K24" s="125"/>
      <c r="L24" s="125"/>
      <c r="M24" s="35">
        <f>ROUND(F22*(1+L22),2)*ROUND(F21*(1+L21),0)*ROUND(F25*(1+L25),10)</f>
        <v>0</v>
      </c>
      <c r="N24" s="35">
        <f t="shared" si="4"/>
        <v>0</v>
      </c>
      <c r="O24" s="32">
        <f t="shared" si="5"/>
        <v>0</v>
      </c>
    </row>
    <row r="25" ht="15.75" customHeight="1" spans="1:15">
      <c r="A25" s="194" t="s">
        <v>243</v>
      </c>
      <c r="B25" s="194"/>
      <c r="C25" s="27" t="s">
        <v>130</v>
      </c>
      <c r="D25" s="32">
        <f>ROUND(IF(D23=0,0,D24/D23),10)</f>
        <v>0</v>
      </c>
      <c r="E25" s="32">
        <f>ROUND(IF(E23=0,0,E24/E23),10)</f>
        <v>0</v>
      </c>
      <c r="F25" s="32">
        <f>ROUND(IF(F23=0,0,F24/F23),10)</f>
        <v>0</v>
      </c>
      <c r="G25" s="32">
        <f t="shared" si="3"/>
        <v>0</v>
      </c>
      <c r="H25" s="148">
        <v>0</v>
      </c>
      <c r="I25" s="32">
        <v>0</v>
      </c>
      <c r="J25" s="32">
        <f>1-H25</f>
        <v>1</v>
      </c>
      <c r="K25" s="32">
        <f>G25*H25+I25*J25</f>
        <v>0</v>
      </c>
      <c r="L25" s="148">
        <v>0</v>
      </c>
      <c r="M25" s="32">
        <f>IF(M23=0,0,ROUND((M24/M23),10))</f>
        <v>0</v>
      </c>
      <c r="N25" s="32">
        <f t="shared" si="4"/>
        <v>0</v>
      </c>
      <c r="O25" s="32">
        <f t="shared" si="5"/>
        <v>0</v>
      </c>
    </row>
    <row r="26" ht="15.75" customHeight="1" spans="1:15">
      <c r="A26" s="194" t="s">
        <v>255</v>
      </c>
      <c r="B26" s="194"/>
      <c r="C26" s="27" t="s">
        <v>143</v>
      </c>
      <c r="D26" s="30">
        <v>0</v>
      </c>
      <c r="E26" s="30">
        <v>0</v>
      </c>
      <c r="F26" s="31">
        <f>F11+F18+F24</f>
        <v>0</v>
      </c>
      <c r="G26" s="32">
        <f t="shared" si="3"/>
        <v>0</v>
      </c>
      <c r="H26" s="125"/>
      <c r="I26" s="32">
        <v>0</v>
      </c>
      <c r="J26" s="125"/>
      <c r="K26" s="125"/>
      <c r="L26" s="125"/>
      <c r="M26" s="35">
        <f>M11+M18+M24</f>
        <v>0</v>
      </c>
      <c r="N26" s="35">
        <f t="shared" si="4"/>
        <v>0</v>
      </c>
      <c r="O26" s="32">
        <f t="shared" si="5"/>
        <v>0</v>
      </c>
    </row>
  </sheetData>
  <mergeCells count="34">
    <mergeCell ref="A1:O1"/>
    <mergeCell ref="N2:O2"/>
    <mergeCell ref="B3:E3"/>
    <mergeCell ref="G3:H3"/>
    <mergeCell ref="G4:H4"/>
    <mergeCell ref="I4:J4"/>
    <mergeCell ref="K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C4:C5"/>
    <mergeCell ref="D4:D5"/>
    <mergeCell ref="E4:E5"/>
    <mergeCell ref="F4:F5"/>
    <mergeCell ref="A4:B5"/>
  </mergeCells>
  <printOptions horizont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showGridLines="0" zoomScalePageLayoutView="60" workbookViewId="0">
      <selection activeCell="A1" sqref="A1:H1"/>
    </sheetView>
  </sheetViews>
  <sheetFormatPr defaultColWidth="8" defaultRowHeight="14.25" outlineLevelRow="6" outlineLevelCol="7"/>
  <cols>
    <col min="1" max="1" width="20.2166666666667" style="1"/>
    <col min="2" max="8" width="20.075" style="1"/>
  </cols>
  <sheetData>
    <row r="1" ht="44.25" customHeight="1" spans="1:8">
      <c r="A1" s="177" t="s">
        <v>256</v>
      </c>
      <c r="B1" s="177"/>
      <c r="C1" s="177"/>
      <c r="D1" s="177"/>
      <c r="E1" s="184"/>
      <c r="F1" s="177"/>
      <c r="G1" s="177"/>
      <c r="H1" s="177"/>
    </row>
    <row r="2" ht="17.25" customHeight="1" spans="1:8">
      <c r="A2" s="85"/>
      <c r="B2" s="85"/>
      <c r="C2" s="85"/>
      <c r="D2" s="85"/>
      <c r="E2" s="85"/>
      <c r="F2" s="85"/>
      <c r="G2" s="85"/>
      <c r="H2" s="86" t="s">
        <v>28</v>
      </c>
    </row>
    <row r="3" ht="17.25" customHeight="1" spans="1:8">
      <c r="A3" s="87" t="s">
        <v>1</v>
      </c>
      <c r="B3" s="185" t="s">
        <v>52</v>
      </c>
      <c r="C3" s="185"/>
      <c r="D3" s="186" t="s">
        <v>112</v>
      </c>
      <c r="E3" s="187"/>
      <c r="F3" s="87"/>
      <c r="G3" s="87"/>
      <c r="H3" s="89" t="s">
        <v>74</v>
      </c>
    </row>
    <row r="4" ht="17.25" customHeight="1" spans="1:8">
      <c r="A4" s="90" t="s">
        <v>110</v>
      </c>
      <c r="B4" s="90" t="s">
        <v>257</v>
      </c>
      <c r="C4" s="90" t="s">
        <v>258</v>
      </c>
      <c r="D4" s="90"/>
      <c r="E4" s="90"/>
      <c r="F4" s="90" t="s">
        <v>259</v>
      </c>
      <c r="G4" s="90" t="s">
        <v>260</v>
      </c>
      <c r="H4" s="90" t="s">
        <v>261</v>
      </c>
    </row>
    <row r="5" ht="17.25" customHeight="1" spans="1:8">
      <c r="A5" s="90"/>
      <c r="B5" s="90"/>
      <c r="C5" s="90"/>
      <c r="D5" s="90"/>
      <c r="E5" s="90"/>
      <c r="F5" s="90"/>
      <c r="G5" s="90"/>
      <c r="H5" s="90"/>
    </row>
    <row r="6" ht="17.25" customHeight="1" spans="1:8">
      <c r="A6" s="90"/>
      <c r="B6" s="90"/>
      <c r="C6" s="90"/>
      <c r="D6" s="90" t="s">
        <v>262</v>
      </c>
      <c r="E6" s="90" t="s">
        <v>263</v>
      </c>
      <c r="F6" s="90"/>
      <c r="G6" s="90"/>
      <c r="H6" s="90"/>
    </row>
    <row r="7" ht="25.5" customHeight="1" spans="1:8">
      <c r="A7" s="90" t="s">
        <v>56</v>
      </c>
      <c r="B7" s="188">
        <v>-11642356.03</v>
      </c>
      <c r="C7" s="188">
        <v>24800160</v>
      </c>
      <c r="D7" s="189">
        <v>9920064</v>
      </c>
      <c r="E7" s="95">
        <f>C7-D7</f>
        <v>14880096</v>
      </c>
      <c r="F7" s="188">
        <v>0</v>
      </c>
      <c r="G7" s="95">
        <f>(B7-C7)-F7</f>
        <v>-36442516.03</v>
      </c>
      <c r="H7" s="190"/>
    </row>
  </sheetData>
  <mergeCells count="9">
    <mergeCell ref="A1:H1"/>
    <mergeCell ref="B3:C3"/>
    <mergeCell ref="D3:E3"/>
    <mergeCell ref="A4:A6"/>
    <mergeCell ref="B4:B6"/>
    <mergeCell ref="F4:F6"/>
    <mergeCell ref="G4:G6"/>
    <mergeCell ref="H4:H6"/>
    <mergeCell ref="C4:E5"/>
  </mergeCells>
  <pageMargins left="1.18110236220472" right="1.18110236220472" top="1.18110236220472" bottom="1.18110236220472" header="0.51181" footer="0.51181"/>
  <pageSetup paperSize="9" scale="50" orientation="portrait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zoomScalePageLayoutView="60" workbookViewId="0">
      <pane topLeftCell="A4" activePane="bottomRight" state="frozen"/>
      <selection activeCell="A1" sqref="A1:G1"/>
    </sheetView>
  </sheetViews>
  <sheetFormatPr defaultColWidth="8" defaultRowHeight="14.25" outlineLevelRow="6" outlineLevelCol="6"/>
  <cols>
    <col min="1" max="1" width="25.525" style="1"/>
    <col min="2" max="3" width="22.8" style="1"/>
    <col min="4" max="4" width="19.65" style="1"/>
    <col min="5" max="5" width="22.8" style="1"/>
    <col min="6" max="6" width="19.2166666666667" style="1"/>
    <col min="7" max="7" width="22.8" style="1"/>
  </cols>
  <sheetData>
    <row r="1" ht="34.5" customHeight="1" spans="1:7">
      <c r="A1" s="177" t="s">
        <v>264</v>
      </c>
      <c r="B1" s="177"/>
      <c r="C1" s="177"/>
      <c r="D1" s="177"/>
      <c r="E1" s="177"/>
      <c r="F1" s="177"/>
      <c r="G1" s="177"/>
    </row>
    <row r="2" ht="19.5" customHeight="1" spans="1:7">
      <c r="A2" s="69"/>
      <c r="B2" s="69"/>
      <c r="C2" s="69"/>
      <c r="D2" s="69"/>
      <c r="E2" s="69"/>
      <c r="F2" s="69"/>
      <c r="G2" s="39" t="s">
        <v>30</v>
      </c>
    </row>
    <row r="3" ht="19.5" customHeight="1" spans="1:7">
      <c r="A3" s="24" t="s">
        <v>1</v>
      </c>
      <c r="B3" s="70" t="s">
        <v>52</v>
      </c>
      <c r="C3" s="70"/>
      <c r="D3" s="70" t="s">
        <v>112</v>
      </c>
      <c r="E3" s="24"/>
      <c r="F3" s="71" t="s">
        <v>265</v>
      </c>
      <c r="G3" s="71"/>
    </row>
    <row r="4" ht="39.75" customHeight="1" spans="1:7">
      <c r="A4" s="72" t="s">
        <v>266</v>
      </c>
      <c r="B4" s="72" t="s">
        <v>118</v>
      </c>
      <c r="C4" s="72" t="s">
        <v>267</v>
      </c>
      <c r="D4" s="72" t="s">
        <v>268</v>
      </c>
      <c r="E4" s="72" t="s">
        <v>269</v>
      </c>
      <c r="F4" s="72" t="s">
        <v>270</v>
      </c>
      <c r="G4" s="72" t="s">
        <v>271</v>
      </c>
    </row>
    <row r="5" ht="19.5" customHeight="1" spans="1:7">
      <c r="A5" s="76"/>
      <c r="B5" s="74"/>
      <c r="C5" s="74"/>
      <c r="D5" s="75">
        <f>IF(B5=0,0,ROUND(C5/B5,10))</f>
        <v>0</v>
      </c>
      <c r="E5" s="74"/>
      <c r="F5" s="75">
        <f>IF(B5=0,0,ROUND(E5/B5,10))</f>
        <v>0</v>
      </c>
      <c r="G5" s="76"/>
    </row>
    <row r="6" ht="27.75" customHeight="1" spans="1:7">
      <c r="A6" s="178"/>
      <c r="B6" s="179"/>
      <c r="C6" s="179"/>
      <c r="D6" s="180"/>
      <c r="E6" s="179"/>
      <c r="F6" s="180"/>
      <c r="G6" s="178"/>
    </row>
    <row r="7" ht="25.5" customHeight="1" spans="1:7">
      <c r="A7" s="181" t="s">
        <v>272</v>
      </c>
      <c r="B7" s="182"/>
      <c r="C7" s="182"/>
      <c r="D7" s="183"/>
      <c r="E7" s="182"/>
      <c r="F7" s="183"/>
      <c r="G7" s="181"/>
    </row>
  </sheetData>
  <mergeCells count="5">
    <mergeCell ref="A1:G1"/>
    <mergeCell ref="B3:C3"/>
    <mergeCell ref="F3:G3"/>
    <mergeCell ref="A6:G6"/>
    <mergeCell ref="A7:G7"/>
  </mergeCells>
  <printOptions horizontalCentered="1"/>
  <pageMargins left="1.18110236220472" right="1.18110236220472" top="1.18110236220472" bottom="1.18110236220472" header="0.51181" footer="0.51181"/>
  <pageSetup paperSize="9" scale="9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tabSelected="1" zoomScalePageLayoutView="60" workbookViewId="0">
      <pane topLeftCell="B1" activePane="bottomRight" state="frozen"/>
      <selection activeCell="F29" sqref="F29"/>
    </sheetView>
  </sheetViews>
  <sheetFormatPr defaultColWidth="8" defaultRowHeight="14.25" outlineLevelCol="5"/>
  <cols>
    <col min="1" max="1" width="27.9666666666667" style="1"/>
    <col min="2" max="2" width="19.2166666666667" style="1"/>
    <col min="3" max="3" width="19.65" style="1"/>
    <col min="4" max="4" width="22.8" style="1"/>
    <col min="5" max="5" width="19.075" style="1"/>
    <col min="6" max="6" width="18.3583333333333" style="1"/>
  </cols>
  <sheetData>
    <row r="1" ht="37.5" customHeight="1" spans="1:6">
      <c r="A1" s="160" t="s">
        <v>273</v>
      </c>
      <c r="B1" s="69"/>
      <c r="C1" s="69"/>
      <c r="D1" s="69"/>
      <c r="E1" s="69"/>
      <c r="F1" s="160"/>
    </row>
    <row r="2" ht="18.75" customHeight="1" spans="1:6">
      <c r="A2" s="161"/>
      <c r="B2" s="69"/>
      <c r="C2" s="69"/>
      <c r="D2" s="69"/>
      <c r="E2" s="69"/>
      <c r="F2" s="39" t="s">
        <v>32</v>
      </c>
    </row>
    <row r="3" ht="15.75" customHeight="1" spans="1:6">
      <c r="A3" s="24" t="s">
        <v>1</v>
      </c>
      <c r="B3" s="162" t="s">
        <v>52</v>
      </c>
      <c r="C3" s="163"/>
      <c r="D3" s="163"/>
      <c r="E3" s="163"/>
      <c r="F3" s="26"/>
    </row>
    <row r="4" ht="42" customHeight="1" spans="1:6">
      <c r="A4" s="164" t="s">
        <v>274</v>
      </c>
      <c r="B4" s="164" t="s">
        <v>75</v>
      </c>
      <c r="C4" s="164" t="s">
        <v>76</v>
      </c>
      <c r="D4" s="164" t="s">
        <v>274</v>
      </c>
      <c r="E4" s="164" t="s">
        <v>75</v>
      </c>
      <c r="F4" s="164" t="s">
        <v>76</v>
      </c>
    </row>
    <row r="5" ht="19.5" customHeight="1" spans="1:6">
      <c r="A5" s="165" t="s">
        <v>275</v>
      </c>
      <c r="B5" s="166">
        <v>169095360</v>
      </c>
      <c r="C5" s="166">
        <v>184017280</v>
      </c>
      <c r="D5" s="165" t="s">
        <v>94</v>
      </c>
      <c r="E5" s="167">
        <v>465936899.58</v>
      </c>
      <c r="F5" s="166">
        <v>474040919.23</v>
      </c>
    </row>
    <row r="6" ht="19.5" customHeight="1" spans="1:6">
      <c r="A6" s="168" t="s">
        <v>276</v>
      </c>
      <c r="B6" s="169">
        <v>0</v>
      </c>
      <c r="C6" s="169">
        <v>0</v>
      </c>
      <c r="D6" s="168" t="s">
        <v>277</v>
      </c>
      <c r="E6" s="169">
        <v>321149829.48</v>
      </c>
      <c r="F6" s="169">
        <v>325094643.89</v>
      </c>
    </row>
    <row r="7" ht="19.5" customHeight="1" spans="1:6">
      <c r="A7" s="170" t="s">
        <v>278</v>
      </c>
      <c r="B7" s="169">
        <v>23065240</v>
      </c>
      <c r="C7" s="169">
        <v>8944005</v>
      </c>
      <c r="D7" s="168" t="s">
        <v>279</v>
      </c>
      <c r="E7" s="169">
        <v>144787070.1</v>
      </c>
      <c r="F7" s="169">
        <v>148946275.34</v>
      </c>
    </row>
    <row r="8" ht="19.5" customHeight="1" spans="1:6">
      <c r="A8" s="171" t="s">
        <v>280</v>
      </c>
      <c r="B8" s="172">
        <v>16913010</v>
      </c>
      <c r="C8" s="172">
        <v>16351319</v>
      </c>
      <c r="D8" s="171" t="s">
        <v>281</v>
      </c>
      <c r="E8" s="172">
        <v>52540344</v>
      </c>
      <c r="F8" s="172">
        <v>57505400</v>
      </c>
    </row>
    <row r="9" ht="19.5" customHeight="1" spans="1:6">
      <c r="A9" s="173" t="s">
        <v>282</v>
      </c>
      <c r="B9" s="174">
        <v>350268960</v>
      </c>
      <c r="C9" s="174">
        <v>350782940</v>
      </c>
      <c r="D9" s="173" t="s">
        <v>100</v>
      </c>
      <c r="E9" s="145">
        <v>0</v>
      </c>
      <c r="F9" s="145">
        <v>0</v>
      </c>
    </row>
    <row r="10" ht="19.5" customHeight="1" spans="1:6">
      <c r="A10" s="175" t="s">
        <v>283</v>
      </c>
      <c r="B10" s="31">
        <v>350268960</v>
      </c>
      <c r="C10" s="31">
        <v>350782940</v>
      </c>
      <c r="D10" s="175"/>
      <c r="E10" s="124"/>
      <c r="F10" s="124"/>
    </row>
    <row r="11" ht="19.5" customHeight="1" spans="1:6">
      <c r="A11" s="175" t="s">
        <v>84</v>
      </c>
      <c r="B11" s="30">
        <v>1528843.23</v>
      </c>
      <c r="C11" s="30">
        <v>1580479.73</v>
      </c>
      <c r="D11" s="175"/>
      <c r="E11" s="124"/>
      <c r="F11" s="124"/>
    </row>
    <row r="12" ht="19.5" customHeight="1" spans="1:6">
      <c r="A12" s="175" t="s">
        <v>284</v>
      </c>
      <c r="B12" s="30">
        <v>0</v>
      </c>
      <c r="C12" s="30">
        <v>0</v>
      </c>
      <c r="D12" s="175"/>
      <c r="E12" s="124"/>
      <c r="F12" s="124"/>
    </row>
    <row r="13" ht="19.5" customHeight="1" spans="1:6">
      <c r="A13" s="175" t="s">
        <v>285</v>
      </c>
      <c r="B13" s="35">
        <f>B5+B11+B9+B12</f>
        <v>520893163.23</v>
      </c>
      <c r="C13" s="35">
        <f>C5+C11+C9+C12</f>
        <v>536380699.73</v>
      </c>
      <c r="D13" s="175" t="s">
        <v>101</v>
      </c>
      <c r="E13" s="35">
        <f>E5+E8+E9</f>
        <v>518477243.58</v>
      </c>
      <c r="F13" s="35">
        <f>F5+F8+F9</f>
        <v>531546319.23</v>
      </c>
    </row>
    <row r="14" ht="19.5" customHeight="1" spans="1:6">
      <c r="A14" s="175" t="s">
        <v>286</v>
      </c>
      <c r="B14" s="30">
        <v>0</v>
      </c>
      <c r="C14" s="30">
        <v>0</v>
      </c>
      <c r="D14" s="175" t="s">
        <v>102</v>
      </c>
      <c r="E14" s="30">
        <v>0</v>
      </c>
      <c r="F14" s="30">
        <v>0</v>
      </c>
    </row>
    <row r="15" ht="19.5" customHeight="1" spans="1:6">
      <c r="A15" s="175" t="s">
        <v>287</v>
      </c>
      <c r="B15" s="30">
        <v>0</v>
      </c>
      <c r="C15" s="30">
        <v>0</v>
      </c>
      <c r="D15" s="175" t="s">
        <v>103</v>
      </c>
      <c r="E15" s="30">
        <v>0</v>
      </c>
      <c r="F15" s="30">
        <v>0</v>
      </c>
    </row>
    <row r="16" ht="19.5" customHeight="1" spans="1:6">
      <c r="A16" s="175" t="s">
        <v>288</v>
      </c>
      <c r="B16" s="35">
        <f>B13+B14+B15</f>
        <v>520893163.23</v>
      </c>
      <c r="C16" s="35">
        <f>C13+C14+C15</f>
        <v>536380699.73</v>
      </c>
      <c r="D16" s="175" t="s">
        <v>104</v>
      </c>
      <c r="E16" s="35">
        <f>E13+E14+E15</f>
        <v>518477243.58</v>
      </c>
      <c r="F16" s="35">
        <f>F13+F14+F15</f>
        <v>531546319.23</v>
      </c>
    </row>
    <row r="17" ht="19.5" customHeight="1" spans="1:6">
      <c r="A17" s="175"/>
      <c r="B17" s="124"/>
      <c r="C17" s="124"/>
      <c r="D17" s="175" t="s">
        <v>105</v>
      </c>
      <c r="E17" s="35">
        <f>B16-E16</f>
        <v>2415919.65000004</v>
      </c>
      <c r="F17" s="35">
        <f>C16-F16</f>
        <v>4834380.5</v>
      </c>
    </row>
    <row r="18" ht="19.5" customHeight="1" spans="1:6">
      <c r="A18" s="175" t="s">
        <v>289</v>
      </c>
      <c r="B18" s="30">
        <v>89263489.45</v>
      </c>
      <c r="C18" s="31">
        <f>E18</f>
        <v>91679409.1</v>
      </c>
      <c r="D18" s="175" t="s">
        <v>106</v>
      </c>
      <c r="E18" s="35">
        <f>B18+E17</f>
        <v>91679409.1</v>
      </c>
      <c r="F18" s="35">
        <f>C18+F17</f>
        <v>96513789.6</v>
      </c>
    </row>
    <row r="19" ht="19.5" customHeight="1" spans="1:6">
      <c r="A19" s="176" t="s">
        <v>290</v>
      </c>
      <c r="B19" s="35">
        <f>B16+B18</f>
        <v>610156652.68</v>
      </c>
      <c r="C19" s="35">
        <f>C16+C18</f>
        <v>628060108.83</v>
      </c>
      <c r="D19" s="175" t="s">
        <v>290</v>
      </c>
      <c r="E19" s="35">
        <f>E16+E18</f>
        <v>610156652.68</v>
      </c>
      <c r="F19" s="35">
        <f>F16+F18</f>
        <v>628060108.83</v>
      </c>
    </row>
  </sheetData>
  <mergeCells count="2">
    <mergeCell ref="A1:F1"/>
    <mergeCell ref="E3:F3"/>
  </mergeCells>
  <printOptions horizontalCentered="1"/>
  <pageMargins left="1.18110236220472" right="1.18110236220472" top="1.18110236220472" bottom="1.18110236220472" header="0.51181" footer="0.51181"/>
  <pageSetup paperSize="9" scale="75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showGridLines="0" zoomScalePageLayoutView="60" workbookViewId="0">
      <selection activeCell="A1" sqref="A1:L1"/>
    </sheetView>
  </sheetViews>
  <sheetFormatPr defaultColWidth="8" defaultRowHeight="14.25"/>
  <cols>
    <col min="1" max="1" width="5.30833333333333" style="1"/>
    <col min="2" max="2" width="4.44166666666667" style="1"/>
    <col min="3" max="3" width="23.6666666666667" style="1"/>
    <col min="4" max="4" width="5.15833333333333" style="1"/>
    <col min="5" max="12" width="18.0666666666667" style="1"/>
  </cols>
  <sheetData>
    <row r="1" ht="37.5" customHeight="1" spans="1:12">
      <c r="A1" s="154" t="s">
        <v>291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ht="15.75" customHeight="1" spans="1:1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39" t="s">
        <v>34</v>
      </c>
    </row>
    <row r="3" ht="21.75" customHeight="1" spans="1:12">
      <c r="A3" s="155" t="s">
        <v>1</v>
      </c>
      <c r="B3" s="155"/>
      <c r="C3" s="156" t="s">
        <v>52</v>
      </c>
      <c r="D3" s="157"/>
      <c r="E3" s="157"/>
      <c r="F3" s="157"/>
      <c r="G3" s="155"/>
      <c r="H3" s="155"/>
      <c r="I3" s="157"/>
      <c r="J3" s="157"/>
      <c r="K3" s="157"/>
      <c r="L3" s="157" t="s">
        <v>108</v>
      </c>
    </row>
    <row r="4" ht="15.75" customHeight="1" spans="1:12">
      <c r="A4" s="142" t="s">
        <v>148</v>
      </c>
      <c r="B4" s="158"/>
      <c r="C4" s="159"/>
      <c r="D4" s="143" t="s">
        <v>110</v>
      </c>
      <c r="E4" s="143" t="s">
        <v>134</v>
      </c>
      <c r="F4" s="143" t="s">
        <v>112</v>
      </c>
      <c r="G4" s="143"/>
      <c r="H4" s="143"/>
      <c r="I4" s="143"/>
      <c r="J4" s="143"/>
      <c r="K4" s="143"/>
      <c r="L4" s="143"/>
    </row>
    <row r="5" ht="31.5" customHeight="1" spans="1:12">
      <c r="A5" s="27"/>
      <c r="B5" s="27"/>
      <c r="C5" s="27"/>
      <c r="D5" s="27"/>
      <c r="E5" s="27"/>
      <c r="F5" s="27" t="s">
        <v>113</v>
      </c>
      <c r="G5" s="27" t="s">
        <v>292</v>
      </c>
      <c r="H5" s="27" t="s">
        <v>293</v>
      </c>
      <c r="I5" s="27" t="s">
        <v>294</v>
      </c>
      <c r="J5" s="27" t="s">
        <v>117</v>
      </c>
      <c r="K5" s="27" t="s">
        <v>295</v>
      </c>
      <c r="L5" s="27" t="s">
        <v>296</v>
      </c>
    </row>
    <row r="6" ht="15.75" customHeight="1" spans="1:12">
      <c r="A6" s="122" t="s">
        <v>120</v>
      </c>
      <c r="B6" s="122" t="s">
        <v>297</v>
      </c>
      <c r="C6" s="27"/>
      <c r="D6" s="27" t="s">
        <v>121</v>
      </c>
      <c r="E6" s="43">
        <f t="shared" ref="E6:L6" si="0">E7+E14+E19</f>
        <v>629961</v>
      </c>
      <c r="F6" s="43">
        <f t="shared" si="0"/>
        <v>603662</v>
      </c>
      <c r="G6" s="43">
        <f t="shared" si="0"/>
        <v>-26299</v>
      </c>
      <c r="H6" s="43">
        <f t="shared" si="0"/>
        <v>250</v>
      </c>
      <c r="I6" s="43">
        <f t="shared" si="0"/>
        <v>-26049</v>
      </c>
      <c r="J6" s="43">
        <f t="shared" si="0"/>
        <v>603912</v>
      </c>
      <c r="K6" s="43">
        <f t="shared" si="0"/>
        <v>0</v>
      </c>
      <c r="L6" s="43">
        <f t="shared" si="0"/>
        <v>603912</v>
      </c>
    </row>
    <row r="7" ht="15.75" customHeight="1" spans="1:12">
      <c r="A7" s="27"/>
      <c r="B7" s="122" t="s">
        <v>298</v>
      </c>
      <c r="C7" s="122" t="s">
        <v>299</v>
      </c>
      <c r="D7" s="27" t="s">
        <v>121</v>
      </c>
      <c r="E7" s="43">
        <f t="shared" ref="E7:L7" si="1">SUM(E8:E13)</f>
        <v>473830</v>
      </c>
      <c r="F7" s="43">
        <f t="shared" si="1"/>
        <v>453329</v>
      </c>
      <c r="G7" s="43">
        <f t="shared" si="1"/>
        <v>-20501</v>
      </c>
      <c r="H7" s="43">
        <f t="shared" si="1"/>
        <v>0</v>
      </c>
      <c r="I7" s="43">
        <f t="shared" si="1"/>
        <v>-20501</v>
      </c>
      <c r="J7" s="43">
        <f t="shared" si="1"/>
        <v>453329</v>
      </c>
      <c r="K7" s="43">
        <f t="shared" si="1"/>
        <v>0</v>
      </c>
      <c r="L7" s="43">
        <f t="shared" si="1"/>
        <v>453329</v>
      </c>
    </row>
    <row r="8" ht="15.75" customHeight="1" spans="1:12">
      <c r="A8" s="27"/>
      <c r="B8" s="27"/>
      <c r="C8" s="122" t="s">
        <v>300</v>
      </c>
      <c r="D8" s="27" t="s">
        <v>121</v>
      </c>
      <c r="E8" s="33">
        <v>209186</v>
      </c>
      <c r="F8" s="33">
        <v>199246</v>
      </c>
      <c r="G8" s="43">
        <f t="shared" ref="G8:G13" si="2">F8-E8</f>
        <v>-9940</v>
      </c>
      <c r="H8" s="33">
        <v>0</v>
      </c>
      <c r="I8" s="43">
        <f t="shared" ref="I8:I13" si="3">G8+H8</f>
        <v>-9940</v>
      </c>
      <c r="J8" s="43">
        <f t="shared" ref="J8:J13" si="4">E8+I8</f>
        <v>199246</v>
      </c>
      <c r="K8" s="33">
        <v>0</v>
      </c>
      <c r="L8" s="43">
        <f t="shared" ref="L8:L13" si="5">J8-K8</f>
        <v>199246</v>
      </c>
    </row>
    <row r="9" ht="15.75" customHeight="1" spans="1:12">
      <c r="A9" s="27"/>
      <c r="B9" s="27"/>
      <c r="C9" s="122" t="s">
        <v>301</v>
      </c>
      <c r="D9" s="27" t="s">
        <v>121</v>
      </c>
      <c r="E9" s="33">
        <v>136974</v>
      </c>
      <c r="F9" s="33">
        <v>127971</v>
      </c>
      <c r="G9" s="43">
        <f t="shared" si="2"/>
        <v>-9003</v>
      </c>
      <c r="H9" s="33">
        <v>0</v>
      </c>
      <c r="I9" s="43">
        <f t="shared" si="3"/>
        <v>-9003</v>
      </c>
      <c r="J9" s="43">
        <f t="shared" si="4"/>
        <v>127971</v>
      </c>
      <c r="K9" s="33">
        <v>0</v>
      </c>
      <c r="L9" s="43">
        <f t="shared" si="5"/>
        <v>127971</v>
      </c>
    </row>
    <row r="10" ht="15.75" customHeight="1" spans="1:12">
      <c r="A10" s="27"/>
      <c r="B10" s="27"/>
      <c r="C10" s="122" t="s">
        <v>302</v>
      </c>
      <c r="D10" s="27" t="s">
        <v>121</v>
      </c>
      <c r="E10" s="33">
        <v>7897</v>
      </c>
      <c r="F10" s="33">
        <v>10434</v>
      </c>
      <c r="G10" s="43">
        <f t="shared" si="2"/>
        <v>2537</v>
      </c>
      <c r="H10" s="33">
        <v>0</v>
      </c>
      <c r="I10" s="43">
        <f t="shared" si="3"/>
        <v>2537</v>
      </c>
      <c r="J10" s="43">
        <f t="shared" si="4"/>
        <v>10434</v>
      </c>
      <c r="K10" s="33">
        <v>0</v>
      </c>
      <c r="L10" s="43">
        <f t="shared" si="5"/>
        <v>10434</v>
      </c>
    </row>
    <row r="11" ht="15.75" customHeight="1" spans="1:12">
      <c r="A11" s="27"/>
      <c r="B11" s="27"/>
      <c r="C11" s="122" t="s">
        <v>303</v>
      </c>
      <c r="D11" s="27" t="s">
        <v>121</v>
      </c>
      <c r="E11" s="33">
        <v>7303</v>
      </c>
      <c r="F11" s="33">
        <v>6583</v>
      </c>
      <c r="G11" s="43">
        <f t="shared" si="2"/>
        <v>-720</v>
      </c>
      <c r="H11" s="33">
        <v>0</v>
      </c>
      <c r="I11" s="43">
        <f t="shared" si="3"/>
        <v>-720</v>
      </c>
      <c r="J11" s="43">
        <f t="shared" si="4"/>
        <v>6583</v>
      </c>
      <c r="K11" s="33">
        <v>0</v>
      </c>
      <c r="L11" s="43">
        <f t="shared" si="5"/>
        <v>6583</v>
      </c>
    </row>
    <row r="12" ht="15.75" customHeight="1" spans="1:12">
      <c r="A12" s="27"/>
      <c r="B12" s="27"/>
      <c r="C12" s="122" t="s">
        <v>304</v>
      </c>
      <c r="D12" s="27" t="s">
        <v>121</v>
      </c>
      <c r="E12" s="33">
        <v>0</v>
      </c>
      <c r="F12" s="33">
        <v>0</v>
      </c>
      <c r="G12" s="43">
        <f t="shared" si="2"/>
        <v>0</v>
      </c>
      <c r="H12" s="33">
        <v>0</v>
      </c>
      <c r="I12" s="43">
        <f t="shared" si="3"/>
        <v>0</v>
      </c>
      <c r="J12" s="43">
        <f t="shared" si="4"/>
        <v>0</v>
      </c>
      <c r="K12" s="33">
        <v>0</v>
      </c>
      <c r="L12" s="43">
        <f t="shared" si="5"/>
        <v>0</v>
      </c>
    </row>
    <row r="13" ht="15.75" customHeight="1" spans="1:12">
      <c r="A13" s="27"/>
      <c r="B13" s="27"/>
      <c r="C13" s="122" t="s">
        <v>305</v>
      </c>
      <c r="D13" s="27" t="s">
        <v>121</v>
      </c>
      <c r="E13" s="33">
        <v>112470</v>
      </c>
      <c r="F13" s="33">
        <v>109095</v>
      </c>
      <c r="G13" s="43">
        <f t="shared" si="2"/>
        <v>-3375</v>
      </c>
      <c r="H13" s="33">
        <v>0</v>
      </c>
      <c r="I13" s="43">
        <f t="shared" si="3"/>
        <v>-3375</v>
      </c>
      <c r="J13" s="43">
        <f t="shared" si="4"/>
        <v>109095</v>
      </c>
      <c r="K13" s="33">
        <v>0</v>
      </c>
      <c r="L13" s="43">
        <f t="shared" si="5"/>
        <v>109095</v>
      </c>
    </row>
    <row r="14" ht="15.75" customHeight="1" spans="1:12">
      <c r="A14" s="27"/>
      <c r="B14" s="122" t="s">
        <v>306</v>
      </c>
      <c r="C14" s="122" t="s">
        <v>307</v>
      </c>
      <c r="D14" s="27" t="s">
        <v>121</v>
      </c>
      <c r="E14" s="43">
        <f t="shared" ref="E14:L14" si="6">SUM(E15:E18)</f>
        <v>156131</v>
      </c>
      <c r="F14" s="43">
        <f t="shared" si="6"/>
        <v>150333</v>
      </c>
      <c r="G14" s="43">
        <f t="shared" si="6"/>
        <v>-5798</v>
      </c>
      <c r="H14" s="43">
        <f t="shared" si="6"/>
        <v>250</v>
      </c>
      <c r="I14" s="43">
        <f t="shared" si="6"/>
        <v>-5548</v>
      </c>
      <c r="J14" s="43">
        <f t="shared" si="6"/>
        <v>150583</v>
      </c>
      <c r="K14" s="43">
        <f t="shared" si="6"/>
        <v>0</v>
      </c>
      <c r="L14" s="43">
        <f t="shared" si="6"/>
        <v>150583</v>
      </c>
    </row>
    <row r="15" ht="15.75" customHeight="1" spans="1:12">
      <c r="A15" s="27"/>
      <c r="B15" s="27"/>
      <c r="C15" s="122" t="s">
        <v>308</v>
      </c>
      <c r="D15" s="27" t="s">
        <v>121</v>
      </c>
      <c r="E15" s="33">
        <v>122323</v>
      </c>
      <c r="F15" s="33">
        <v>116532</v>
      </c>
      <c r="G15" s="43">
        <f>F15-E15</f>
        <v>-5791</v>
      </c>
      <c r="H15" s="33">
        <v>250</v>
      </c>
      <c r="I15" s="43">
        <f>G15+H15</f>
        <v>-5541</v>
      </c>
      <c r="J15" s="43">
        <f>E15+I15</f>
        <v>116782</v>
      </c>
      <c r="K15" s="33">
        <v>0</v>
      </c>
      <c r="L15" s="43">
        <f>J15-K15</f>
        <v>116782</v>
      </c>
    </row>
    <row r="16" ht="15.75" customHeight="1" spans="1:12">
      <c r="A16" s="27"/>
      <c r="B16" s="27"/>
      <c r="C16" s="122" t="s">
        <v>309</v>
      </c>
      <c r="D16" s="27" t="s">
        <v>121</v>
      </c>
      <c r="E16" s="33">
        <v>1246</v>
      </c>
      <c r="F16" s="33">
        <v>1647</v>
      </c>
      <c r="G16" s="43">
        <f>F16-E16</f>
        <v>401</v>
      </c>
      <c r="H16" s="33">
        <v>0</v>
      </c>
      <c r="I16" s="43">
        <f>G16+H16</f>
        <v>401</v>
      </c>
      <c r="J16" s="43">
        <f>E16+I16</f>
        <v>1647</v>
      </c>
      <c r="K16" s="33">
        <v>0</v>
      </c>
      <c r="L16" s="43">
        <f>J16-K16</f>
        <v>1647</v>
      </c>
    </row>
    <row r="17" ht="15.75" customHeight="1" spans="1:12">
      <c r="A17" s="27"/>
      <c r="B17" s="27"/>
      <c r="C17" s="122" t="s">
        <v>310</v>
      </c>
      <c r="D17" s="27" t="s">
        <v>121</v>
      </c>
      <c r="E17" s="33">
        <v>324</v>
      </c>
      <c r="F17" s="33">
        <v>232</v>
      </c>
      <c r="G17" s="43">
        <f>F17-E17</f>
        <v>-92</v>
      </c>
      <c r="H17" s="33">
        <v>0</v>
      </c>
      <c r="I17" s="43">
        <f>G17+H17</f>
        <v>-92</v>
      </c>
      <c r="J17" s="43">
        <f>E17+I17</f>
        <v>232</v>
      </c>
      <c r="K17" s="33">
        <v>0</v>
      </c>
      <c r="L17" s="43">
        <f>J17-K17</f>
        <v>232</v>
      </c>
    </row>
    <row r="18" ht="15.75" customHeight="1" spans="1:12">
      <c r="A18" s="27"/>
      <c r="B18" s="27"/>
      <c r="C18" s="122" t="s">
        <v>311</v>
      </c>
      <c r="D18" s="27" t="s">
        <v>121</v>
      </c>
      <c r="E18" s="33">
        <v>32238</v>
      </c>
      <c r="F18" s="33">
        <v>31922</v>
      </c>
      <c r="G18" s="43">
        <f>F18-E18</f>
        <v>-316</v>
      </c>
      <c r="H18" s="33">
        <v>0</v>
      </c>
      <c r="I18" s="43">
        <f>G18+H18</f>
        <v>-316</v>
      </c>
      <c r="J18" s="43">
        <f>E18+I18</f>
        <v>31922</v>
      </c>
      <c r="K18" s="33">
        <v>0</v>
      </c>
      <c r="L18" s="43">
        <f>J18-K18</f>
        <v>31922</v>
      </c>
    </row>
    <row r="19" ht="15.75" customHeight="1" spans="1:12">
      <c r="A19" s="27"/>
      <c r="B19" s="122" t="s">
        <v>312</v>
      </c>
      <c r="C19" s="122" t="s">
        <v>312</v>
      </c>
      <c r="D19" s="27" t="s">
        <v>121</v>
      </c>
      <c r="E19" s="43">
        <f t="shared" ref="E19:L19" si="7">SUM(E20:E22)</f>
        <v>0</v>
      </c>
      <c r="F19" s="43">
        <f t="shared" si="7"/>
        <v>0</v>
      </c>
      <c r="G19" s="43">
        <f t="shared" si="7"/>
        <v>0</v>
      </c>
      <c r="H19" s="43">
        <f t="shared" si="7"/>
        <v>0</v>
      </c>
      <c r="I19" s="43">
        <f t="shared" si="7"/>
        <v>0</v>
      </c>
      <c r="J19" s="43">
        <f t="shared" si="7"/>
        <v>0</v>
      </c>
      <c r="K19" s="43">
        <f t="shared" si="7"/>
        <v>0</v>
      </c>
      <c r="L19" s="43">
        <f t="shared" si="7"/>
        <v>0</v>
      </c>
    </row>
    <row r="20" ht="15.75" customHeight="1" spans="1:12">
      <c r="A20" s="27"/>
      <c r="B20" s="27"/>
      <c r="C20" s="122" t="s">
        <v>313</v>
      </c>
      <c r="D20" s="27" t="s">
        <v>121</v>
      </c>
      <c r="E20" s="33">
        <v>0</v>
      </c>
      <c r="F20" s="33">
        <v>0</v>
      </c>
      <c r="G20" s="43">
        <f>F20-E20</f>
        <v>0</v>
      </c>
      <c r="H20" s="33">
        <v>0</v>
      </c>
      <c r="I20" s="43">
        <f>G20+H20</f>
        <v>0</v>
      </c>
      <c r="J20" s="43">
        <f>E20+I20</f>
        <v>0</v>
      </c>
      <c r="K20" s="33">
        <v>0</v>
      </c>
      <c r="L20" s="43">
        <f>J20-K20</f>
        <v>0</v>
      </c>
    </row>
    <row r="21" ht="15.75" customHeight="1" spans="1:12">
      <c r="A21" s="27"/>
      <c r="B21" s="27"/>
      <c r="C21" s="122" t="s">
        <v>314</v>
      </c>
      <c r="D21" s="27" t="s">
        <v>121</v>
      </c>
      <c r="E21" s="33">
        <v>0</v>
      </c>
      <c r="F21" s="33">
        <v>0</v>
      </c>
      <c r="G21" s="43">
        <f>F21-E21</f>
        <v>0</v>
      </c>
      <c r="H21" s="33">
        <v>0</v>
      </c>
      <c r="I21" s="43">
        <f>G21+H21</f>
        <v>0</v>
      </c>
      <c r="J21" s="43">
        <f>E21+I21</f>
        <v>0</v>
      </c>
      <c r="K21" s="33">
        <v>0</v>
      </c>
      <c r="L21" s="43">
        <f>J21-K21</f>
        <v>0</v>
      </c>
    </row>
    <row r="22" ht="15.75" customHeight="1" spans="1:12">
      <c r="A22" s="27"/>
      <c r="B22" s="27"/>
      <c r="C22" s="122" t="s">
        <v>315</v>
      </c>
      <c r="D22" s="27" t="s">
        <v>121</v>
      </c>
      <c r="E22" s="33">
        <v>0</v>
      </c>
      <c r="F22" s="33">
        <v>0</v>
      </c>
      <c r="G22" s="43">
        <f>F22-E22</f>
        <v>0</v>
      </c>
      <c r="H22" s="33">
        <v>0</v>
      </c>
      <c r="I22" s="43">
        <f>G22+H22</f>
        <v>0</v>
      </c>
      <c r="J22" s="43">
        <f>E22+I22</f>
        <v>0</v>
      </c>
      <c r="K22" s="33">
        <v>0</v>
      </c>
      <c r="L22" s="43">
        <f>J22-K22</f>
        <v>0</v>
      </c>
    </row>
  </sheetData>
  <mergeCells count="13">
    <mergeCell ref="A1:L1"/>
    <mergeCell ref="A3:B3"/>
    <mergeCell ref="C3:E3"/>
    <mergeCell ref="G3:H3"/>
    <mergeCell ref="F4:L4"/>
    <mergeCell ref="B6:C6"/>
    <mergeCell ref="A6:A22"/>
    <mergeCell ref="B7:B13"/>
    <mergeCell ref="B14:B18"/>
    <mergeCell ref="B19:B22"/>
    <mergeCell ref="D4:D5"/>
    <mergeCell ref="E4:E5"/>
    <mergeCell ref="A4:C5"/>
  </mergeCells>
  <printOptions horizont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showGridLines="0" zoomScalePageLayoutView="60" workbookViewId="0">
      <pane topLeftCell="E9" activePane="bottomRight" state="frozen"/>
      <selection activeCell="A1" sqref="A1:P1"/>
    </sheetView>
  </sheetViews>
  <sheetFormatPr defaultColWidth="8" defaultRowHeight="14.25"/>
  <cols>
    <col min="1" max="1" width="5.30833333333333" style="1"/>
    <col min="2" max="2" width="5.875" style="1"/>
    <col min="3" max="3" width="19.9333333333333" style="1"/>
    <col min="4" max="4" width="6.16666666666667" style="1"/>
    <col min="5" max="7" width="17.2083333333333" style="1"/>
    <col min="8" max="13" width="15.775" style="1"/>
    <col min="14" max="15" width="17.2083333333333" style="1"/>
    <col min="16" max="16" width="15.775" style="1"/>
  </cols>
  <sheetData>
    <row r="1" ht="37.5" customHeight="1" spans="1:16">
      <c r="A1" s="118" t="s">
        <v>316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ht="22.5" customHeight="1" spans="1:16">
      <c r="A2" s="119"/>
      <c r="B2" s="119"/>
      <c r="C2" s="119"/>
      <c r="D2" s="119"/>
      <c r="E2" s="120"/>
      <c r="F2" s="120"/>
      <c r="G2" s="120"/>
      <c r="H2" s="120"/>
      <c r="I2" s="120"/>
      <c r="J2" s="120"/>
      <c r="K2" s="119"/>
      <c r="L2" s="119"/>
      <c r="M2" s="39"/>
      <c r="N2" s="39"/>
      <c r="O2" s="39" t="s">
        <v>36</v>
      </c>
      <c r="P2" s="39"/>
    </row>
    <row r="3" ht="23.25" customHeight="1" spans="1:16">
      <c r="A3" s="121" t="s">
        <v>1</v>
      </c>
      <c r="B3" s="121"/>
      <c r="C3" s="25" t="s">
        <v>52</v>
      </c>
      <c r="D3" s="70"/>
      <c r="E3" s="70"/>
      <c r="F3" s="70"/>
      <c r="G3" s="24"/>
      <c r="H3" s="24" t="s">
        <v>53</v>
      </c>
      <c r="I3" s="71"/>
      <c r="J3" s="71"/>
      <c r="K3" s="71"/>
      <c r="L3" s="71"/>
      <c r="M3" s="71"/>
      <c r="N3" s="71"/>
      <c r="O3" s="71"/>
      <c r="P3" s="26"/>
    </row>
    <row r="4" ht="15.75" customHeight="1" spans="1:16">
      <c r="A4" s="27" t="s">
        <v>148</v>
      </c>
      <c r="B4" s="27"/>
      <c r="C4" s="27"/>
      <c r="D4" s="27" t="s">
        <v>110</v>
      </c>
      <c r="E4" s="27" t="s">
        <v>149</v>
      </c>
      <c r="F4" s="27" t="s">
        <v>150</v>
      </c>
      <c r="G4" s="27" t="s">
        <v>75</v>
      </c>
      <c r="H4" s="27" t="s">
        <v>317</v>
      </c>
      <c r="I4" s="27"/>
      <c r="J4" s="27" t="s">
        <v>318</v>
      </c>
      <c r="K4" s="27"/>
      <c r="L4" s="27" t="s">
        <v>319</v>
      </c>
      <c r="M4" s="27"/>
      <c r="N4" s="27" t="s">
        <v>76</v>
      </c>
      <c r="O4" s="27"/>
      <c r="P4" s="27"/>
    </row>
    <row r="5" ht="31.5" customHeight="1" spans="1:16">
      <c r="A5" s="27"/>
      <c r="B5" s="27"/>
      <c r="C5" s="27"/>
      <c r="D5" s="27"/>
      <c r="E5" s="27"/>
      <c r="F5" s="27"/>
      <c r="G5" s="27"/>
      <c r="H5" s="27" t="s">
        <v>320</v>
      </c>
      <c r="I5" s="27" t="s">
        <v>155</v>
      </c>
      <c r="J5" s="27" t="s">
        <v>321</v>
      </c>
      <c r="K5" s="27" t="s">
        <v>155</v>
      </c>
      <c r="L5" s="27" t="s">
        <v>322</v>
      </c>
      <c r="M5" s="27" t="s">
        <v>158</v>
      </c>
      <c r="N5" s="27" t="s">
        <v>118</v>
      </c>
      <c r="O5" s="27" t="s">
        <v>323</v>
      </c>
      <c r="P5" s="27" t="s">
        <v>320</v>
      </c>
    </row>
    <row r="6" ht="15.75" customHeight="1" spans="1:16">
      <c r="A6" s="122" t="s">
        <v>324</v>
      </c>
      <c r="B6" s="122" t="s">
        <v>297</v>
      </c>
      <c r="C6" s="123"/>
      <c r="D6" s="27" t="s">
        <v>121</v>
      </c>
      <c r="E6" s="43">
        <f>E7+E14+E19</f>
        <v>625712</v>
      </c>
      <c r="F6" s="43">
        <f>F7+F14+F19</f>
        <v>629961</v>
      </c>
      <c r="G6" s="43">
        <f>G7+G14+G19</f>
        <v>603912</v>
      </c>
      <c r="H6" s="32">
        <v>-0.0413501788</v>
      </c>
      <c r="I6" s="125"/>
      <c r="J6" s="32">
        <v>-0.0117509813</v>
      </c>
      <c r="K6" s="125"/>
      <c r="L6" s="125"/>
      <c r="M6" s="125"/>
      <c r="N6" s="43">
        <f>N7+N14+N19</f>
        <v>575054</v>
      </c>
      <c r="O6" s="43">
        <f t="shared" ref="O6:O68" si="0">N6-G6</f>
        <v>-28858</v>
      </c>
      <c r="P6" s="32">
        <v>-0.0477851078</v>
      </c>
    </row>
    <row r="7" ht="15.75" customHeight="1" spans="1:16">
      <c r="A7" s="122"/>
      <c r="B7" s="122" t="s">
        <v>298</v>
      </c>
      <c r="C7" s="123" t="s">
        <v>299</v>
      </c>
      <c r="D7" s="27" t="s">
        <v>121</v>
      </c>
      <c r="E7" s="43">
        <f>SUM(E8:E13)</f>
        <v>489400</v>
      </c>
      <c r="F7" s="43">
        <f>SUM(F8:F13)</f>
        <v>473830</v>
      </c>
      <c r="G7" s="43">
        <f>SUM(G8:G13)</f>
        <v>453329</v>
      </c>
      <c r="H7" s="32">
        <v>-0.0432665724</v>
      </c>
      <c r="I7" s="125"/>
      <c r="J7" s="32">
        <v>-0.0251977736</v>
      </c>
      <c r="K7" s="125"/>
      <c r="L7" s="125"/>
      <c r="M7" s="125"/>
      <c r="N7" s="43">
        <f>N8+N9+N10+N11+N12+N13</f>
        <v>432274</v>
      </c>
      <c r="O7" s="43">
        <f t="shared" si="0"/>
        <v>-21055</v>
      </c>
      <c r="P7" s="32">
        <v>-0.0464452969</v>
      </c>
    </row>
    <row r="8" ht="15.75" customHeight="1" spans="1:16">
      <c r="A8" s="122"/>
      <c r="B8" s="122"/>
      <c r="C8" s="123" t="s">
        <v>325</v>
      </c>
      <c r="D8" s="27" t="s">
        <v>121</v>
      </c>
      <c r="E8" s="33">
        <v>282970</v>
      </c>
      <c r="F8" s="34">
        <v>209186</v>
      </c>
      <c r="G8" s="34">
        <v>199246</v>
      </c>
      <c r="H8" s="32">
        <v>-0.0475175203</v>
      </c>
      <c r="I8" s="148">
        <v>0.3</v>
      </c>
      <c r="J8" s="32">
        <v>-0.1103556898</v>
      </c>
      <c r="K8" s="32">
        <f t="shared" ref="K8:K13" si="1">1-I8</f>
        <v>0.7</v>
      </c>
      <c r="L8" s="32">
        <v>-0.091504239</v>
      </c>
      <c r="M8" s="148">
        <v>0.06</v>
      </c>
      <c r="N8" s="43">
        <v>211201</v>
      </c>
      <c r="O8" s="43">
        <f t="shared" si="0"/>
        <v>11955</v>
      </c>
      <c r="P8" s="32">
        <v>0.0600012045</v>
      </c>
    </row>
    <row r="9" ht="15.75" customHeight="1" spans="1:16">
      <c r="A9" s="122"/>
      <c r="B9" s="122"/>
      <c r="C9" s="123" t="s">
        <v>301</v>
      </c>
      <c r="D9" s="27" t="s">
        <v>121</v>
      </c>
      <c r="E9" s="33">
        <v>125716</v>
      </c>
      <c r="F9" s="34">
        <v>136974</v>
      </c>
      <c r="G9" s="34">
        <v>127971</v>
      </c>
      <c r="H9" s="32">
        <v>-0.0657278024</v>
      </c>
      <c r="I9" s="148">
        <v>0</v>
      </c>
      <c r="J9" s="32">
        <v>0.0059436877</v>
      </c>
      <c r="K9" s="32">
        <f t="shared" si="1"/>
        <v>1</v>
      </c>
      <c r="L9" s="32">
        <v>0.0059436877</v>
      </c>
      <c r="M9" s="148">
        <v>0.06</v>
      </c>
      <c r="N9" s="43">
        <v>135649</v>
      </c>
      <c r="O9" s="43">
        <f t="shared" si="0"/>
        <v>7678</v>
      </c>
      <c r="P9" s="32">
        <v>0</v>
      </c>
    </row>
    <row r="10" ht="15.75" customHeight="1" spans="1:16">
      <c r="A10" s="122"/>
      <c r="B10" s="122"/>
      <c r="C10" s="123" t="s">
        <v>302</v>
      </c>
      <c r="D10" s="27" t="s">
        <v>121</v>
      </c>
      <c r="E10" s="33">
        <v>5755</v>
      </c>
      <c r="F10" s="34">
        <v>7897</v>
      </c>
      <c r="G10" s="34">
        <v>10434</v>
      </c>
      <c r="H10" s="32">
        <v>0.3212612384</v>
      </c>
      <c r="I10" s="148">
        <v>-1.2</v>
      </c>
      <c r="J10" s="32">
        <v>0.2193690516</v>
      </c>
      <c r="K10" s="32">
        <f t="shared" si="1"/>
        <v>2.2</v>
      </c>
      <c r="L10" s="32">
        <v>0.0970984274</v>
      </c>
      <c r="M10" s="148">
        <v>0.993</v>
      </c>
      <c r="N10" s="43">
        <v>20795</v>
      </c>
      <c r="O10" s="43">
        <f t="shared" si="0"/>
        <v>10361</v>
      </c>
      <c r="P10" s="32">
        <v>0.9930036419</v>
      </c>
    </row>
    <row r="11" ht="15.75" customHeight="1" spans="1:16">
      <c r="A11" s="122"/>
      <c r="B11" s="122"/>
      <c r="C11" s="123" t="s">
        <v>303</v>
      </c>
      <c r="D11" s="27" t="s">
        <v>121</v>
      </c>
      <c r="E11" s="33">
        <v>7551</v>
      </c>
      <c r="F11" s="34">
        <v>7303</v>
      </c>
      <c r="G11" s="34">
        <v>6583</v>
      </c>
      <c r="H11" s="32">
        <v>-0.0985896207</v>
      </c>
      <c r="I11" s="148">
        <v>0</v>
      </c>
      <c r="J11" s="32">
        <v>-0.0446999622</v>
      </c>
      <c r="K11" s="32">
        <f t="shared" si="1"/>
        <v>1</v>
      </c>
      <c r="L11" s="32">
        <v>-0.0446999622</v>
      </c>
      <c r="M11" s="148">
        <v>0.2</v>
      </c>
      <c r="N11" s="43">
        <v>7900</v>
      </c>
      <c r="O11" s="43">
        <f t="shared" si="0"/>
        <v>1317</v>
      </c>
      <c r="P11" s="32">
        <v>0.2000607626</v>
      </c>
    </row>
    <row r="12" ht="15.75" customHeight="1" spans="1:16">
      <c r="A12" s="122"/>
      <c r="B12" s="122"/>
      <c r="C12" s="123" t="s">
        <v>304</v>
      </c>
      <c r="D12" s="27" t="s">
        <v>121</v>
      </c>
      <c r="E12" s="33">
        <v>0</v>
      </c>
      <c r="F12" s="34">
        <v>0</v>
      </c>
      <c r="G12" s="34">
        <v>0</v>
      </c>
      <c r="H12" s="32">
        <v>0</v>
      </c>
      <c r="I12" s="148">
        <v>0</v>
      </c>
      <c r="J12" s="32">
        <v>0</v>
      </c>
      <c r="K12" s="32">
        <f t="shared" si="1"/>
        <v>1</v>
      </c>
      <c r="L12" s="32">
        <v>0</v>
      </c>
      <c r="M12" s="148">
        <v>0</v>
      </c>
      <c r="N12" s="43">
        <v>0</v>
      </c>
      <c r="O12" s="43">
        <f t="shared" si="0"/>
        <v>0</v>
      </c>
      <c r="P12" s="32">
        <v>0</v>
      </c>
    </row>
    <row r="13" ht="15.75" customHeight="1" spans="1:16">
      <c r="A13" s="122"/>
      <c r="B13" s="122"/>
      <c r="C13" s="123" t="s">
        <v>305</v>
      </c>
      <c r="D13" s="27" t="s">
        <v>121</v>
      </c>
      <c r="E13" s="33">
        <v>67408</v>
      </c>
      <c r="F13" s="34">
        <v>112470</v>
      </c>
      <c r="G13" s="34">
        <v>109095</v>
      </c>
      <c r="H13" s="32">
        <v>-0.0300080021</v>
      </c>
      <c r="I13" s="148">
        <v>0.4</v>
      </c>
      <c r="J13" s="32">
        <v>0.1740803015</v>
      </c>
      <c r="K13" s="32">
        <f t="shared" si="1"/>
        <v>0.6</v>
      </c>
      <c r="L13" s="32">
        <v>0.0924449801</v>
      </c>
      <c r="M13" s="148">
        <v>-0.48</v>
      </c>
      <c r="N13" s="43">
        <v>56729</v>
      </c>
      <c r="O13" s="43">
        <f t="shared" si="0"/>
        <v>-52366</v>
      </c>
      <c r="P13" s="32">
        <v>-0.4800036665</v>
      </c>
    </row>
    <row r="14" ht="15.75" customHeight="1" spans="1:16">
      <c r="A14" s="122"/>
      <c r="B14" s="122" t="s">
        <v>306</v>
      </c>
      <c r="C14" s="122" t="s">
        <v>307</v>
      </c>
      <c r="D14" s="27" t="s">
        <v>121</v>
      </c>
      <c r="E14" s="43">
        <f>SUM(E15:E18)</f>
        <v>136312</v>
      </c>
      <c r="F14" s="43">
        <f>SUM(F15:F18)</f>
        <v>156131</v>
      </c>
      <c r="G14" s="43">
        <f>SUM(G15:G18)</f>
        <v>150583</v>
      </c>
      <c r="H14" s="32">
        <v>-0.0355342629</v>
      </c>
      <c r="I14" s="125"/>
      <c r="J14" s="32">
        <v>0.033746261</v>
      </c>
      <c r="K14" s="125"/>
      <c r="L14" s="125"/>
      <c r="M14" s="125"/>
      <c r="N14" s="43">
        <f>N15+N16+N17+N18</f>
        <v>142780</v>
      </c>
      <c r="O14" s="43">
        <f t="shared" si="0"/>
        <v>-7803</v>
      </c>
      <c r="P14" s="32">
        <v>-0.0518185984</v>
      </c>
    </row>
    <row r="15" ht="15.75" customHeight="1" spans="1:16">
      <c r="A15" s="122"/>
      <c r="B15" s="122"/>
      <c r="C15" s="122" t="s">
        <v>308</v>
      </c>
      <c r="D15" s="27" t="s">
        <v>121</v>
      </c>
      <c r="E15" s="33">
        <v>120850</v>
      </c>
      <c r="F15" s="34">
        <v>122323</v>
      </c>
      <c r="G15" s="34">
        <v>116782</v>
      </c>
      <c r="H15" s="32">
        <v>-0.0452981042</v>
      </c>
      <c r="I15" s="148">
        <v>0</v>
      </c>
      <c r="J15" s="32">
        <v>-0.01134883</v>
      </c>
      <c r="K15" s="32">
        <f>1-I15</f>
        <v>1</v>
      </c>
      <c r="L15" s="32">
        <v>-0.01134883</v>
      </c>
      <c r="M15" s="148">
        <v>0.05</v>
      </c>
      <c r="N15" s="43">
        <v>122621</v>
      </c>
      <c r="O15" s="43">
        <f t="shared" si="0"/>
        <v>5839</v>
      </c>
      <c r="P15" s="32">
        <v>0.0499991437</v>
      </c>
    </row>
    <row r="16" ht="15.75" customHeight="1" spans="1:16">
      <c r="A16" s="122"/>
      <c r="B16" s="122"/>
      <c r="C16" s="122" t="s">
        <v>309</v>
      </c>
      <c r="D16" s="27" t="s">
        <v>121</v>
      </c>
      <c r="E16" s="33">
        <v>3692</v>
      </c>
      <c r="F16" s="34">
        <v>1246</v>
      </c>
      <c r="G16" s="34">
        <v>1647</v>
      </c>
      <c r="H16" s="32">
        <v>0.3218298555</v>
      </c>
      <c r="I16" s="148">
        <v>0.3</v>
      </c>
      <c r="J16" s="32">
        <v>-0.2359109623</v>
      </c>
      <c r="K16" s="32">
        <f>1-I16</f>
        <v>0.7</v>
      </c>
      <c r="L16" s="32">
        <v>-0.068588717</v>
      </c>
      <c r="M16" s="148">
        <v>0.993</v>
      </c>
      <c r="N16" s="43">
        <v>3282</v>
      </c>
      <c r="O16" s="43">
        <f t="shared" si="0"/>
        <v>1635</v>
      </c>
      <c r="P16" s="32">
        <v>0.9927140255</v>
      </c>
    </row>
    <row r="17" ht="15.75" customHeight="1" spans="1:16">
      <c r="A17" s="122"/>
      <c r="B17" s="122"/>
      <c r="C17" s="122" t="s">
        <v>310</v>
      </c>
      <c r="D17" s="27" t="s">
        <v>121</v>
      </c>
      <c r="E17" s="33">
        <v>277</v>
      </c>
      <c r="F17" s="34">
        <v>324</v>
      </c>
      <c r="G17" s="34">
        <v>232</v>
      </c>
      <c r="H17" s="32">
        <v>-0.2839506173</v>
      </c>
      <c r="I17" s="148">
        <v>0</v>
      </c>
      <c r="J17" s="32">
        <v>-0.057381255</v>
      </c>
      <c r="K17" s="32">
        <f>1-I17</f>
        <v>1</v>
      </c>
      <c r="L17" s="32">
        <v>-0.057381255</v>
      </c>
      <c r="M17" s="148">
        <v>0.2</v>
      </c>
      <c r="N17" s="43">
        <v>278</v>
      </c>
      <c r="O17" s="43">
        <f t="shared" si="0"/>
        <v>46</v>
      </c>
      <c r="P17" s="32">
        <v>0.1982758621</v>
      </c>
    </row>
    <row r="18" ht="15.75" customHeight="1" spans="1:16">
      <c r="A18" s="122"/>
      <c r="B18" s="122"/>
      <c r="C18" s="122" t="s">
        <v>311</v>
      </c>
      <c r="D18" s="27" t="s">
        <v>121</v>
      </c>
      <c r="E18" s="33">
        <v>11493</v>
      </c>
      <c r="F18" s="34">
        <v>32238</v>
      </c>
      <c r="G18" s="34">
        <v>31922</v>
      </c>
      <c r="H18" s="32">
        <v>-0.0098020969</v>
      </c>
      <c r="I18" s="148">
        <v>0.8</v>
      </c>
      <c r="J18" s="32">
        <v>0.4056770755</v>
      </c>
      <c r="K18" s="32">
        <f>1-I18</f>
        <v>0.2</v>
      </c>
      <c r="L18" s="32">
        <v>0.0732937376</v>
      </c>
      <c r="M18" s="148">
        <v>-0.48</v>
      </c>
      <c r="N18" s="43">
        <v>16599</v>
      </c>
      <c r="O18" s="43">
        <f t="shared" si="0"/>
        <v>-15323</v>
      </c>
      <c r="P18" s="32">
        <v>-0.4800137836</v>
      </c>
    </row>
    <row r="19" ht="15.75" customHeight="1" spans="1:16">
      <c r="A19" s="122"/>
      <c r="B19" s="122" t="s">
        <v>312</v>
      </c>
      <c r="C19" s="122" t="s">
        <v>312</v>
      </c>
      <c r="D19" s="27" t="s">
        <v>121</v>
      </c>
      <c r="E19" s="43">
        <f>SUM(E20:E22)</f>
        <v>0</v>
      </c>
      <c r="F19" s="43">
        <f>SUM(F20:F22)</f>
        <v>0</v>
      </c>
      <c r="G19" s="43">
        <f>SUM(G20:G22)</f>
        <v>0</v>
      </c>
      <c r="H19" s="32">
        <v>0</v>
      </c>
      <c r="I19" s="125"/>
      <c r="J19" s="32">
        <v>0</v>
      </c>
      <c r="K19" s="125"/>
      <c r="L19" s="125"/>
      <c r="M19" s="125"/>
      <c r="N19" s="43">
        <f>N20+N21+N22</f>
        <v>0</v>
      </c>
      <c r="O19" s="43">
        <f t="shared" si="0"/>
        <v>0</v>
      </c>
      <c r="P19" s="32">
        <v>0</v>
      </c>
    </row>
    <row r="20" ht="15.75" customHeight="1" spans="1:16">
      <c r="A20" s="122"/>
      <c r="B20" s="122"/>
      <c r="C20" s="122" t="s">
        <v>313</v>
      </c>
      <c r="D20" s="27" t="s">
        <v>121</v>
      </c>
      <c r="E20" s="33">
        <v>0</v>
      </c>
      <c r="F20" s="34">
        <v>0</v>
      </c>
      <c r="G20" s="34">
        <v>0</v>
      </c>
      <c r="H20" s="32">
        <v>0</v>
      </c>
      <c r="I20" s="148">
        <v>0</v>
      </c>
      <c r="J20" s="32">
        <v>0</v>
      </c>
      <c r="K20" s="32">
        <f>1-I20</f>
        <v>1</v>
      </c>
      <c r="L20" s="32">
        <v>0</v>
      </c>
      <c r="M20" s="148">
        <v>0</v>
      </c>
      <c r="N20" s="43">
        <v>0</v>
      </c>
      <c r="O20" s="43">
        <f t="shared" si="0"/>
        <v>0</v>
      </c>
      <c r="P20" s="32">
        <v>0</v>
      </c>
    </row>
    <row r="21" ht="15.75" customHeight="1" spans="1:16">
      <c r="A21" s="122"/>
      <c r="B21" s="122"/>
      <c r="C21" s="122" t="s">
        <v>314</v>
      </c>
      <c r="D21" s="27" t="s">
        <v>121</v>
      </c>
      <c r="E21" s="33">
        <v>0</v>
      </c>
      <c r="F21" s="34">
        <v>0</v>
      </c>
      <c r="G21" s="34">
        <v>0</v>
      </c>
      <c r="H21" s="32">
        <v>0</v>
      </c>
      <c r="I21" s="148">
        <v>0</v>
      </c>
      <c r="J21" s="32">
        <v>0</v>
      </c>
      <c r="K21" s="32">
        <f>1-I21</f>
        <v>1</v>
      </c>
      <c r="L21" s="32">
        <v>0</v>
      </c>
      <c r="M21" s="148">
        <v>0</v>
      </c>
      <c r="N21" s="43">
        <v>0</v>
      </c>
      <c r="O21" s="43">
        <f t="shared" si="0"/>
        <v>0</v>
      </c>
      <c r="P21" s="32">
        <v>0</v>
      </c>
    </row>
    <row r="22" ht="15.75" customHeight="1" spans="1:16">
      <c r="A22" s="122"/>
      <c r="B22" s="122"/>
      <c r="C22" s="122" t="s">
        <v>315</v>
      </c>
      <c r="D22" s="27" t="s">
        <v>121</v>
      </c>
      <c r="E22" s="33">
        <v>0</v>
      </c>
      <c r="F22" s="34">
        <v>0</v>
      </c>
      <c r="G22" s="34">
        <v>0</v>
      </c>
      <c r="H22" s="32">
        <v>0</v>
      </c>
      <c r="I22" s="148">
        <v>0</v>
      </c>
      <c r="J22" s="32">
        <v>0</v>
      </c>
      <c r="K22" s="32">
        <f>1-I22</f>
        <v>1</v>
      </c>
      <c r="L22" s="32">
        <v>0</v>
      </c>
      <c r="M22" s="148">
        <v>0</v>
      </c>
      <c r="N22" s="43">
        <v>0</v>
      </c>
      <c r="O22" s="43">
        <f t="shared" si="0"/>
        <v>0</v>
      </c>
      <c r="P22" s="32">
        <v>0</v>
      </c>
    </row>
    <row r="23" ht="15.75" customHeight="1" spans="1:16">
      <c r="A23" s="122"/>
      <c r="B23" s="122" t="s">
        <v>326</v>
      </c>
      <c r="C23" s="122" t="s">
        <v>327</v>
      </c>
      <c r="D23" s="27" t="s">
        <v>328</v>
      </c>
      <c r="E23" s="124"/>
      <c r="F23" s="124"/>
      <c r="G23" s="30">
        <v>280</v>
      </c>
      <c r="H23" s="125"/>
      <c r="I23" s="125"/>
      <c r="J23" s="125"/>
      <c r="K23" s="125"/>
      <c r="L23" s="125"/>
      <c r="M23" s="125"/>
      <c r="N23" s="30">
        <v>320</v>
      </c>
      <c r="O23" s="35">
        <f t="shared" si="0"/>
        <v>40</v>
      </c>
      <c r="P23" s="32">
        <v>0.1428571429</v>
      </c>
    </row>
    <row r="24" ht="15.75" customHeight="1" spans="1:16">
      <c r="A24" s="122"/>
      <c r="B24" s="122"/>
      <c r="C24" s="122" t="s">
        <v>329</v>
      </c>
      <c r="D24" s="27" t="s">
        <v>328</v>
      </c>
      <c r="E24" s="124"/>
      <c r="F24" s="124"/>
      <c r="G24" s="30">
        <v>280</v>
      </c>
      <c r="H24" s="125"/>
      <c r="I24" s="125"/>
      <c r="J24" s="125"/>
      <c r="K24" s="125"/>
      <c r="L24" s="125"/>
      <c r="M24" s="125"/>
      <c r="N24" s="30">
        <v>320</v>
      </c>
      <c r="O24" s="35">
        <f t="shared" si="0"/>
        <v>40</v>
      </c>
      <c r="P24" s="32">
        <v>0.1428571429</v>
      </c>
    </row>
    <row r="25" ht="15.75" customHeight="1" spans="1:16">
      <c r="A25" s="122"/>
      <c r="B25" s="122"/>
      <c r="C25" s="122" t="s">
        <v>330</v>
      </c>
      <c r="D25" s="27" t="s">
        <v>328</v>
      </c>
      <c r="E25" s="124"/>
      <c r="F25" s="124"/>
      <c r="G25" s="30">
        <v>30</v>
      </c>
      <c r="H25" s="125"/>
      <c r="I25" s="125"/>
      <c r="J25" s="125"/>
      <c r="K25" s="125"/>
      <c r="L25" s="125"/>
      <c r="M25" s="125"/>
      <c r="N25" s="30">
        <v>48</v>
      </c>
      <c r="O25" s="35">
        <f t="shared" si="0"/>
        <v>18</v>
      </c>
      <c r="P25" s="32">
        <v>0.6</v>
      </c>
    </row>
    <row r="26" ht="15.75" customHeight="1" spans="1:16">
      <c r="A26" s="122"/>
      <c r="B26" s="122"/>
      <c r="C26" s="122" t="s">
        <v>331</v>
      </c>
      <c r="D26" s="27" t="s">
        <v>328</v>
      </c>
      <c r="E26" s="124"/>
      <c r="F26" s="124"/>
      <c r="G26" s="30">
        <v>30</v>
      </c>
      <c r="H26" s="125"/>
      <c r="I26" s="125"/>
      <c r="J26" s="125"/>
      <c r="K26" s="125"/>
      <c r="L26" s="125"/>
      <c r="M26" s="125"/>
      <c r="N26" s="30">
        <v>90</v>
      </c>
      <c r="O26" s="35">
        <f t="shared" si="0"/>
        <v>60</v>
      </c>
      <c r="P26" s="32">
        <v>2</v>
      </c>
    </row>
    <row r="27" ht="15.75" customHeight="1" spans="1:16">
      <c r="A27" s="122"/>
      <c r="B27" s="122"/>
      <c r="C27" s="122" t="s">
        <v>332</v>
      </c>
      <c r="D27" s="27" t="s">
        <v>328</v>
      </c>
      <c r="E27" s="124"/>
      <c r="F27" s="124"/>
      <c r="G27" s="30">
        <v>0</v>
      </c>
      <c r="H27" s="125"/>
      <c r="I27" s="125"/>
      <c r="J27" s="125"/>
      <c r="K27" s="125"/>
      <c r="L27" s="125"/>
      <c r="M27" s="125"/>
      <c r="N27" s="30">
        <v>0</v>
      </c>
      <c r="O27" s="35">
        <f t="shared" si="0"/>
        <v>0</v>
      </c>
      <c r="P27" s="32">
        <v>0</v>
      </c>
    </row>
    <row r="28" ht="15.75" customHeight="1" spans="1:16">
      <c r="A28" s="122"/>
      <c r="B28" s="122"/>
      <c r="C28" s="122" t="s">
        <v>333</v>
      </c>
      <c r="D28" s="27" t="s">
        <v>328</v>
      </c>
      <c r="E28" s="124"/>
      <c r="F28" s="124"/>
      <c r="G28" s="30">
        <v>30</v>
      </c>
      <c r="H28" s="125"/>
      <c r="I28" s="125"/>
      <c r="J28" s="125"/>
      <c r="K28" s="125"/>
      <c r="L28" s="125"/>
      <c r="M28" s="125"/>
      <c r="N28" s="30">
        <v>90</v>
      </c>
      <c r="O28" s="35">
        <f t="shared" si="0"/>
        <v>60</v>
      </c>
      <c r="P28" s="32">
        <v>2</v>
      </c>
    </row>
    <row r="29" ht="15.75" customHeight="1" spans="1:16">
      <c r="A29" s="122"/>
      <c r="B29" s="122" t="s">
        <v>334</v>
      </c>
      <c r="C29" s="122" t="s">
        <v>335</v>
      </c>
      <c r="D29" s="27" t="s">
        <v>328</v>
      </c>
      <c r="E29" s="124"/>
      <c r="F29" s="124"/>
      <c r="G29" s="30">
        <v>280</v>
      </c>
      <c r="H29" s="125"/>
      <c r="I29" s="125"/>
      <c r="J29" s="125"/>
      <c r="K29" s="125"/>
      <c r="L29" s="125"/>
      <c r="M29" s="125"/>
      <c r="N29" s="30">
        <v>320</v>
      </c>
      <c r="O29" s="35">
        <f t="shared" si="0"/>
        <v>40</v>
      </c>
      <c r="P29" s="32">
        <v>0.1428571429</v>
      </c>
    </row>
    <row r="30" ht="15.75" customHeight="1" spans="1:16">
      <c r="A30" s="122"/>
      <c r="B30" s="122"/>
      <c r="C30" s="122" t="s">
        <v>336</v>
      </c>
      <c r="D30" s="27" t="s">
        <v>328</v>
      </c>
      <c r="E30" s="124"/>
      <c r="F30" s="124"/>
      <c r="G30" s="30">
        <v>30</v>
      </c>
      <c r="H30" s="125"/>
      <c r="I30" s="125"/>
      <c r="J30" s="125"/>
      <c r="K30" s="125"/>
      <c r="L30" s="125"/>
      <c r="M30" s="125"/>
      <c r="N30" s="30">
        <v>48</v>
      </c>
      <c r="O30" s="35">
        <f t="shared" si="0"/>
        <v>18</v>
      </c>
      <c r="P30" s="32">
        <v>0.6</v>
      </c>
    </row>
    <row r="31" ht="15.75" customHeight="1" spans="1:16">
      <c r="A31" s="122"/>
      <c r="B31" s="122"/>
      <c r="C31" s="122" t="s">
        <v>337</v>
      </c>
      <c r="D31" s="27" t="s">
        <v>328</v>
      </c>
      <c r="E31" s="124"/>
      <c r="F31" s="124"/>
      <c r="G31" s="30">
        <v>30</v>
      </c>
      <c r="H31" s="125"/>
      <c r="I31" s="125"/>
      <c r="J31" s="125"/>
      <c r="K31" s="125"/>
      <c r="L31" s="125"/>
      <c r="M31" s="125"/>
      <c r="N31" s="30">
        <v>90</v>
      </c>
      <c r="O31" s="35">
        <f t="shared" si="0"/>
        <v>60</v>
      </c>
      <c r="P31" s="32">
        <v>2</v>
      </c>
    </row>
    <row r="32" ht="15.75" customHeight="1" spans="1:16">
      <c r="A32" s="122"/>
      <c r="B32" s="122"/>
      <c r="C32" s="122" t="s">
        <v>338</v>
      </c>
      <c r="D32" s="27" t="s">
        <v>328</v>
      </c>
      <c r="E32" s="124"/>
      <c r="F32" s="124"/>
      <c r="G32" s="30">
        <v>30</v>
      </c>
      <c r="H32" s="125"/>
      <c r="I32" s="125"/>
      <c r="J32" s="125"/>
      <c r="K32" s="125"/>
      <c r="L32" s="125"/>
      <c r="M32" s="125"/>
      <c r="N32" s="30">
        <v>90</v>
      </c>
      <c r="O32" s="35">
        <f t="shared" si="0"/>
        <v>60</v>
      </c>
      <c r="P32" s="32">
        <v>2</v>
      </c>
    </row>
    <row r="33" ht="15.75" customHeight="1" spans="1:16">
      <c r="A33" s="122"/>
      <c r="B33" s="122" t="s">
        <v>312</v>
      </c>
      <c r="C33" s="122" t="s">
        <v>339</v>
      </c>
      <c r="D33" s="27" t="s">
        <v>328</v>
      </c>
      <c r="E33" s="124"/>
      <c r="F33" s="124"/>
      <c r="G33" s="30">
        <v>280</v>
      </c>
      <c r="H33" s="125"/>
      <c r="I33" s="125"/>
      <c r="J33" s="125"/>
      <c r="K33" s="125"/>
      <c r="L33" s="125"/>
      <c r="M33" s="125"/>
      <c r="N33" s="30">
        <v>320</v>
      </c>
      <c r="O33" s="35">
        <f t="shared" si="0"/>
        <v>40</v>
      </c>
      <c r="P33" s="32">
        <v>0.1428571429</v>
      </c>
    </row>
    <row r="34" ht="15.75" customHeight="1" spans="1:16">
      <c r="A34" s="122"/>
      <c r="B34" s="122"/>
      <c r="C34" s="122" t="s">
        <v>340</v>
      </c>
      <c r="D34" s="27" t="s">
        <v>328</v>
      </c>
      <c r="E34" s="124"/>
      <c r="F34" s="124"/>
      <c r="G34" s="30">
        <v>0</v>
      </c>
      <c r="H34" s="125"/>
      <c r="I34" s="125"/>
      <c r="J34" s="125"/>
      <c r="K34" s="125"/>
      <c r="L34" s="125"/>
      <c r="M34" s="125"/>
      <c r="N34" s="30">
        <v>0</v>
      </c>
      <c r="O34" s="35">
        <f t="shared" si="0"/>
        <v>0</v>
      </c>
      <c r="P34" s="32">
        <v>0</v>
      </c>
    </row>
    <row r="35" ht="15.75" customHeight="1" spans="1:16">
      <c r="A35" s="122" t="s">
        <v>341</v>
      </c>
      <c r="B35" s="122" t="s">
        <v>342</v>
      </c>
      <c r="C35" s="122"/>
      <c r="D35" s="27" t="s">
        <v>328</v>
      </c>
      <c r="E35" s="124"/>
      <c r="F35" s="124"/>
      <c r="G35" s="30">
        <v>464</v>
      </c>
      <c r="H35" s="125"/>
      <c r="I35" s="125"/>
      <c r="J35" s="125"/>
      <c r="K35" s="125"/>
      <c r="L35" s="125"/>
      <c r="M35" s="125"/>
      <c r="N35" s="30">
        <v>488</v>
      </c>
      <c r="O35" s="35">
        <f t="shared" si="0"/>
        <v>24</v>
      </c>
      <c r="P35" s="32">
        <v>0.0517241379</v>
      </c>
    </row>
    <row r="36" ht="15.75" customHeight="1" spans="1:16">
      <c r="A36" s="122"/>
      <c r="B36" s="122" t="s">
        <v>343</v>
      </c>
      <c r="C36" s="122"/>
      <c r="D36" s="27" t="s">
        <v>328</v>
      </c>
      <c r="E36" s="124"/>
      <c r="F36" s="124"/>
      <c r="G36" s="30">
        <v>464</v>
      </c>
      <c r="H36" s="125"/>
      <c r="I36" s="125"/>
      <c r="J36" s="125"/>
      <c r="K36" s="125"/>
      <c r="L36" s="125"/>
      <c r="M36" s="125"/>
      <c r="N36" s="30">
        <v>488</v>
      </c>
      <c r="O36" s="35">
        <f t="shared" si="0"/>
        <v>24</v>
      </c>
      <c r="P36" s="32">
        <v>0.0517241379</v>
      </c>
    </row>
    <row r="37" ht="15.75" customHeight="1" spans="1:16">
      <c r="A37" s="122"/>
      <c r="B37" s="122" t="s">
        <v>344</v>
      </c>
      <c r="C37" s="122" t="s">
        <v>327</v>
      </c>
      <c r="D37" s="27" t="s">
        <v>328</v>
      </c>
      <c r="E37" s="124"/>
      <c r="F37" s="124"/>
      <c r="G37" s="30">
        <v>116</v>
      </c>
      <c r="H37" s="125"/>
      <c r="I37" s="125"/>
      <c r="J37" s="125"/>
      <c r="K37" s="125"/>
      <c r="L37" s="125"/>
      <c r="M37" s="125"/>
      <c r="N37" s="30">
        <v>122</v>
      </c>
      <c r="O37" s="35">
        <f t="shared" si="0"/>
        <v>6</v>
      </c>
      <c r="P37" s="32">
        <v>0.0517241379</v>
      </c>
    </row>
    <row r="38" ht="15.75" customHeight="1" spans="1:16">
      <c r="A38" s="122"/>
      <c r="B38" s="122"/>
      <c r="C38" s="122" t="s">
        <v>329</v>
      </c>
      <c r="D38" s="27" t="s">
        <v>328</v>
      </c>
      <c r="E38" s="124"/>
      <c r="F38" s="124"/>
      <c r="G38" s="30">
        <v>116</v>
      </c>
      <c r="H38" s="125"/>
      <c r="I38" s="125"/>
      <c r="J38" s="125"/>
      <c r="K38" s="125"/>
      <c r="L38" s="125"/>
      <c r="M38" s="125"/>
      <c r="N38" s="30">
        <v>122</v>
      </c>
      <c r="O38" s="35">
        <f t="shared" si="0"/>
        <v>6</v>
      </c>
      <c r="P38" s="32">
        <v>0.0517241379</v>
      </c>
    </row>
    <row r="39" ht="15.75" customHeight="1" spans="1:16">
      <c r="A39" s="122"/>
      <c r="B39" s="122"/>
      <c r="C39" s="122" t="s">
        <v>330</v>
      </c>
      <c r="D39" s="27" t="s">
        <v>328</v>
      </c>
      <c r="E39" s="124"/>
      <c r="F39" s="124"/>
      <c r="G39" s="30">
        <v>116</v>
      </c>
      <c r="H39" s="125"/>
      <c r="I39" s="125"/>
      <c r="J39" s="125"/>
      <c r="K39" s="125"/>
      <c r="L39" s="125"/>
      <c r="M39" s="125"/>
      <c r="N39" s="30">
        <v>122</v>
      </c>
      <c r="O39" s="35">
        <f t="shared" si="0"/>
        <v>6</v>
      </c>
      <c r="P39" s="32">
        <v>0.0517241379</v>
      </c>
    </row>
    <row r="40" ht="15.75" customHeight="1" spans="1:16">
      <c r="A40" s="122"/>
      <c r="B40" s="122"/>
      <c r="C40" s="122" t="s">
        <v>331</v>
      </c>
      <c r="D40" s="27" t="s">
        <v>328</v>
      </c>
      <c r="E40" s="124"/>
      <c r="F40" s="124"/>
      <c r="G40" s="30">
        <v>116</v>
      </c>
      <c r="H40" s="125"/>
      <c r="I40" s="125"/>
      <c r="J40" s="125"/>
      <c r="K40" s="125"/>
      <c r="L40" s="125"/>
      <c r="M40" s="125"/>
      <c r="N40" s="30">
        <v>122</v>
      </c>
      <c r="O40" s="35">
        <f t="shared" si="0"/>
        <v>6</v>
      </c>
      <c r="P40" s="32">
        <v>0.0517241379</v>
      </c>
    </row>
    <row r="41" ht="15.75" customHeight="1" spans="1:16">
      <c r="A41" s="122"/>
      <c r="B41" s="122"/>
      <c r="C41" s="122" t="s">
        <v>332</v>
      </c>
      <c r="D41" s="27" t="s">
        <v>328</v>
      </c>
      <c r="E41" s="124"/>
      <c r="F41" s="124"/>
      <c r="G41" s="30">
        <v>116</v>
      </c>
      <c r="H41" s="125"/>
      <c r="I41" s="125"/>
      <c r="J41" s="125"/>
      <c r="K41" s="125"/>
      <c r="L41" s="125"/>
      <c r="M41" s="125"/>
      <c r="N41" s="30">
        <v>122</v>
      </c>
      <c r="O41" s="35">
        <f t="shared" si="0"/>
        <v>6</v>
      </c>
      <c r="P41" s="32">
        <v>0.0517241379</v>
      </c>
    </row>
    <row r="42" ht="15.75" customHeight="1" spans="1:16">
      <c r="A42" s="122"/>
      <c r="B42" s="122"/>
      <c r="C42" s="122" t="s">
        <v>333</v>
      </c>
      <c r="D42" s="27" t="s">
        <v>328</v>
      </c>
      <c r="E42" s="124"/>
      <c r="F42" s="124"/>
      <c r="G42" s="30">
        <v>116</v>
      </c>
      <c r="H42" s="125"/>
      <c r="I42" s="125"/>
      <c r="J42" s="125"/>
      <c r="K42" s="125"/>
      <c r="L42" s="125"/>
      <c r="M42" s="125"/>
      <c r="N42" s="30">
        <v>122</v>
      </c>
      <c r="O42" s="35">
        <f t="shared" si="0"/>
        <v>6</v>
      </c>
      <c r="P42" s="32">
        <v>0.0517241379</v>
      </c>
    </row>
    <row r="43" ht="15.75" customHeight="1" spans="1:16">
      <c r="A43" s="122"/>
      <c r="B43" s="122" t="s">
        <v>345</v>
      </c>
      <c r="C43" s="122" t="s">
        <v>335</v>
      </c>
      <c r="D43" s="27" t="s">
        <v>328</v>
      </c>
      <c r="E43" s="124"/>
      <c r="F43" s="124"/>
      <c r="G43" s="30">
        <v>116</v>
      </c>
      <c r="H43" s="125"/>
      <c r="I43" s="125"/>
      <c r="J43" s="125"/>
      <c r="K43" s="125"/>
      <c r="L43" s="125"/>
      <c r="M43" s="125"/>
      <c r="N43" s="30">
        <v>122</v>
      </c>
      <c r="O43" s="35">
        <f t="shared" si="0"/>
        <v>6</v>
      </c>
      <c r="P43" s="32">
        <v>0.0517241379</v>
      </c>
    </row>
    <row r="44" ht="15.75" customHeight="1" spans="1:16">
      <c r="A44" s="122"/>
      <c r="B44" s="122"/>
      <c r="C44" s="122" t="s">
        <v>336</v>
      </c>
      <c r="D44" s="27" t="s">
        <v>328</v>
      </c>
      <c r="E44" s="124"/>
      <c r="F44" s="124"/>
      <c r="G44" s="30">
        <v>116</v>
      </c>
      <c r="H44" s="125"/>
      <c r="I44" s="125"/>
      <c r="J44" s="125"/>
      <c r="K44" s="125"/>
      <c r="L44" s="125"/>
      <c r="M44" s="125"/>
      <c r="N44" s="30">
        <v>122</v>
      </c>
      <c r="O44" s="35">
        <f t="shared" si="0"/>
        <v>6</v>
      </c>
      <c r="P44" s="32">
        <v>0.0517241379</v>
      </c>
    </row>
    <row r="45" ht="15.75" customHeight="1" spans="1:16">
      <c r="A45" s="122"/>
      <c r="B45" s="122"/>
      <c r="C45" s="122" t="s">
        <v>337</v>
      </c>
      <c r="D45" s="27" t="s">
        <v>328</v>
      </c>
      <c r="E45" s="124"/>
      <c r="F45" s="124"/>
      <c r="G45" s="30">
        <v>116</v>
      </c>
      <c r="H45" s="125"/>
      <c r="I45" s="125"/>
      <c r="J45" s="125"/>
      <c r="K45" s="125"/>
      <c r="L45" s="125"/>
      <c r="M45" s="125"/>
      <c r="N45" s="30">
        <v>122</v>
      </c>
      <c r="O45" s="35">
        <f t="shared" si="0"/>
        <v>6</v>
      </c>
      <c r="P45" s="32">
        <v>0.0517241379</v>
      </c>
    </row>
    <row r="46" ht="15.75" customHeight="1" spans="1:16">
      <c r="A46" s="122"/>
      <c r="B46" s="122"/>
      <c r="C46" s="122" t="s">
        <v>338</v>
      </c>
      <c r="D46" s="27" t="s">
        <v>328</v>
      </c>
      <c r="E46" s="124"/>
      <c r="F46" s="124"/>
      <c r="G46" s="30">
        <v>116</v>
      </c>
      <c r="H46" s="125"/>
      <c r="I46" s="125"/>
      <c r="J46" s="125"/>
      <c r="K46" s="125"/>
      <c r="L46" s="125"/>
      <c r="M46" s="125"/>
      <c r="N46" s="30">
        <v>122</v>
      </c>
      <c r="O46" s="35">
        <f t="shared" si="0"/>
        <v>6</v>
      </c>
      <c r="P46" s="32">
        <v>0.0517241379</v>
      </c>
    </row>
    <row r="47" ht="15.75" customHeight="1" spans="1:16">
      <c r="A47" s="122"/>
      <c r="B47" s="122" t="s">
        <v>346</v>
      </c>
      <c r="C47" s="122" t="s">
        <v>339</v>
      </c>
      <c r="D47" s="27" t="s">
        <v>328</v>
      </c>
      <c r="E47" s="124"/>
      <c r="F47" s="124"/>
      <c r="G47" s="30">
        <v>116</v>
      </c>
      <c r="H47" s="125"/>
      <c r="I47" s="125"/>
      <c r="J47" s="125"/>
      <c r="K47" s="125"/>
      <c r="L47" s="125"/>
      <c r="M47" s="125"/>
      <c r="N47" s="30">
        <v>122</v>
      </c>
      <c r="O47" s="35">
        <f t="shared" si="0"/>
        <v>6</v>
      </c>
      <c r="P47" s="32">
        <v>0.0517241379</v>
      </c>
    </row>
    <row r="48" ht="15.75" customHeight="1" spans="1:16">
      <c r="A48" s="122"/>
      <c r="B48" s="122"/>
      <c r="C48" s="122" t="s">
        <v>340</v>
      </c>
      <c r="D48" s="27" t="s">
        <v>328</v>
      </c>
      <c r="E48" s="124"/>
      <c r="F48" s="124"/>
      <c r="G48" s="30">
        <v>116</v>
      </c>
      <c r="H48" s="125"/>
      <c r="I48" s="125"/>
      <c r="J48" s="125"/>
      <c r="K48" s="125"/>
      <c r="L48" s="125"/>
      <c r="M48" s="125"/>
      <c r="N48" s="30">
        <v>122</v>
      </c>
      <c r="O48" s="35">
        <f t="shared" si="0"/>
        <v>6</v>
      </c>
      <c r="P48" s="32">
        <v>0.0517241379</v>
      </c>
    </row>
    <row r="49" ht="15.75" customHeight="1" spans="1:16">
      <c r="A49" s="122" t="s">
        <v>347</v>
      </c>
      <c r="B49" s="122"/>
      <c r="C49" s="122"/>
      <c r="D49" s="27" t="s">
        <v>328</v>
      </c>
      <c r="E49" s="124"/>
      <c r="F49" s="124"/>
      <c r="G49" s="35">
        <v>280</v>
      </c>
      <c r="H49" s="125"/>
      <c r="I49" s="125"/>
      <c r="J49" s="125"/>
      <c r="K49" s="125"/>
      <c r="L49" s="125"/>
      <c r="M49" s="125"/>
      <c r="N49" s="35">
        <v>320</v>
      </c>
      <c r="O49" s="35">
        <f t="shared" si="0"/>
        <v>40</v>
      </c>
      <c r="P49" s="32">
        <v>0.1428571429</v>
      </c>
    </row>
    <row r="50" ht="15.75" customHeight="1" spans="1:16">
      <c r="A50" s="126" t="s">
        <v>348</v>
      </c>
      <c r="B50" s="122"/>
      <c r="C50" s="122"/>
      <c r="D50" s="27" t="s">
        <v>328</v>
      </c>
      <c r="E50" s="124"/>
      <c r="F50" s="124"/>
      <c r="G50" s="35">
        <v>580</v>
      </c>
      <c r="H50" s="125"/>
      <c r="I50" s="125"/>
      <c r="J50" s="125"/>
      <c r="K50" s="125"/>
      <c r="L50" s="125"/>
      <c r="M50" s="125"/>
      <c r="N50" s="35">
        <v>610</v>
      </c>
      <c r="O50" s="35">
        <f t="shared" si="0"/>
        <v>30</v>
      </c>
      <c r="P50" s="32">
        <v>0.0517241379</v>
      </c>
    </row>
    <row r="51" ht="15.75" customHeight="1" spans="1:16">
      <c r="A51" s="127" t="s">
        <v>177</v>
      </c>
      <c r="B51" s="128" t="s">
        <v>349</v>
      </c>
      <c r="C51" s="27"/>
      <c r="D51" s="27" t="s">
        <v>143</v>
      </c>
      <c r="E51" s="30">
        <v>0</v>
      </c>
      <c r="F51" s="30">
        <v>0</v>
      </c>
      <c r="G51" s="35">
        <f>G52+G53+G54+G55</f>
        <v>169095360</v>
      </c>
      <c r="H51" s="125"/>
      <c r="I51" s="125"/>
      <c r="J51" s="125"/>
      <c r="K51" s="125"/>
      <c r="L51" s="125"/>
      <c r="M51" s="125"/>
      <c r="N51" s="35">
        <v>184017280</v>
      </c>
      <c r="O51" s="35">
        <f t="shared" si="0"/>
        <v>14921920</v>
      </c>
      <c r="P51" s="32">
        <v>0.0882455911</v>
      </c>
    </row>
    <row r="52" ht="15.75" customHeight="1" spans="1:16">
      <c r="A52" s="127"/>
      <c r="B52" s="128" t="s">
        <v>350</v>
      </c>
      <c r="C52" s="27"/>
      <c r="D52" s="27" t="s">
        <v>143</v>
      </c>
      <c r="E52" s="124"/>
      <c r="F52" s="124"/>
      <c r="G52" s="35">
        <v>129117110</v>
      </c>
      <c r="H52" s="125"/>
      <c r="I52" s="125"/>
      <c r="J52" s="125"/>
      <c r="K52" s="125"/>
      <c r="L52" s="125"/>
      <c r="M52" s="125"/>
      <c r="N52" s="35">
        <v>158721956</v>
      </c>
      <c r="O52" s="35">
        <f t="shared" si="0"/>
        <v>29604846</v>
      </c>
      <c r="P52" s="32">
        <v>0.2292867769</v>
      </c>
    </row>
    <row r="53" ht="15.75" customHeight="1" spans="1:16">
      <c r="A53" s="127"/>
      <c r="B53" s="129" t="s">
        <v>351</v>
      </c>
      <c r="C53" s="72"/>
      <c r="D53" s="72" t="s">
        <v>143</v>
      </c>
      <c r="E53" s="130"/>
      <c r="F53" s="130"/>
      <c r="G53" s="131">
        <v>0</v>
      </c>
      <c r="H53" s="132"/>
      <c r="I53" s="132"/>
      <c r="J53" s="132"/>
      <c r="K53" s="132"/>
      <c r="L53" s="132"/>
      <c r="M53" s="132"/>
      <c r="N53" s="131">
        <v>0</v>
      </c>
      <c r="O53" s="149">
        <f t="shared" si="0"/>
        <v>0</v>
      </c>
      <c r="P53" s="150">
        <v>0</v>
      </c>
    </row>
    <row r="54" ht="15.75" customHeight="1" spans="1:16">
      <c r="A54" s="133"/>
      <c r="B54" s="134" t="s">
        <v>352</v>
      </c>
      <c r="C54" s="135"/>
      <c r="D54" s="134" t="s">
        <v>143</v>
      </c>
      <c r="E54" s="136"/>
      <c r="F54" s="136"/>
      <c r="G54" s="74">
        <v>23065240</v>
      </c>
      <c r="H54" s="137"/>
      <c r="I54" s="137"/>
      <c r="J54" s="137"/>
      <c r="K54" s="137"/>
      <c r="L54" s="137"/>
      <c r="M54" s="137"/>
      <c r="N54" s="74">
        <v>8944005</v>
      </c>
      <c r="O54" s="151">
        <f t="shared" si="0"/>
        <v>-14121235</v>
      </c>
      <c r="P54" s="75">
        <v>-0.612230135</v>
      </c>
    </row>
    <row r="55" ht="15.75" customHeight="1" spans="1:16">
      <c r="A55" s="133"/>
      <c r="B55" s="138" t="s">
        <v>353</v>
      </c>
      <c r="C55" s="135"/>
      <c r="D55" s="134" t="s">
        <v>143</v>
      </c>
      <c r="E55" s="136"/>
      <c r="F55" s="136"/>
      <c r="G55" s="74">
        <v>16913010</v>
      </c>
      <c r="H55" s="137"/>
      <c r="I55" s="137"/>
      <c r="J55" s="137"/>
      <c r="K55" s="137"/>
      <c r="L55" s="137"/>
      <c r="M55" s="137"/>
      <c r="N55" s="74">
        <v>16351319</v>
      </c>
      <c r="O55" s="151">
        <f t="shared" si="0"/>
        <v>-561691</v>
      </c>
      <c r="P55" s="75">
        <v>-0.0332105876</v>
      </c>
    </row>
    <row r="56" ht="15.75" customHeight="1" spans="1:16">
      <c r="A56" s="139"/>
      <c r="B56" s="140" t="s">
        <v>181</v>
      </c>
      <c r="C56" s="141" t="s">
        <v>354</v>
      </c>
      <c r="D56" s="134" t="s">
        <v>143</v>
      </c>
      <c r="E56" s="136"/>
      <c r="F56" s="136"/>
      <c r="G56" s="74">
        <v>0</v>
      </c>
      <c r="H56" s="137"/>
      <c r="I56" s="137"/>
      <c r="J56" s="137"/>
      <c r="K56" s="137"/>
      <c r="L56" s="137"/>
      <c r="M56" s="137"/>
      <c r="N56" s="74">
        <v>0</v>
      </c>
      <c r="O56" s="151">
        <f t="shared" si="0"/>
        <v>0</v>
      </c>
      <c r="P56" s="75">
        <v>0</v>
      </c>
    </row>
    <row r="57" ht="15.75" customHeight="1" spans="1:16">
      <c r="A57" s="127"/>
      <c r="B57" s="140"/>
      <c r="C57" s="142" t="s">
        <v>355</v>
      </c>
      <c r="D57" s="143" t="s">
        <v>143</v>
      </c>
      <c r="E57" s="144"/>
      <c r="F57" s="144"/>
      <c r="G57" s="145">
        <v>0</v>
      </c>
      <c r="H57" s="146"/>
      <c r="I57" s="146"/>
      <c r="J57" s="146"/>
      <c r="K57" s="146"/>
      <c r="L57" s="146"/>
      <c r="M57" s="146"/>
      <c r="N57" s="145">
        <v>0</v>
      </c>
      <c r="O57" s="152">
        <f t="shared" si="0"/>
        <v>0</v>
      </c>
      <c r="P57" s="153">
        <v>0</v>
      </c>
    </row>
    <row r="58" ht="15.75" customHeight="1" spans="1:16">
      <c r="A58" s="147"/>
      <c r="B58" s="140"/>
      <c r="C58" s="122" t="s">
        <v>356</v>
      </c>
      <c r="D58" s="27" t="s">
        <v>143</v>
      </c>
      <c r="E58" s="124"/>
      <c r="F58" s="124"/>
      <c r="G58" s="30">
        <v>0</v>
      </c>
      <c r="H58" s="125"/>
      <c r="I58" s="125"/>
      <c r="J58" s="125"/>
      <c r="K58" s="125"/>
      <c r="L58" s="125"/>
      <c r="M58" s="125"/>
      <c r="N58" s="30">
        <v>0</v>
      </c>
      <c r="O58" s="35">
        <f t="shared" si="0"/>
        <v>0</v>
      </c>
      <c r="P58" s="32">
        <v>0</v>
      </c>
    </row>
    <row r="59" ht="15.75" customHeight="1" spans="1:16">
      <c r="A59" s="147"/>
      <c r="B59" s="140" t="s">
        <v>182</v>
      </c>
      <c r="C59" s="122" t="s">
        <v>354</v>
      </c>
      <c r="D59" s="27" t="s">
        <v>143</v>
      </c>
      <c r="E59" s="124"/>
      <c r="F59" s="124"/>
      <c r="G59" s="30">
        <v>0</v>
      </c>
      <c r="H59" s="125"/>
      <c r="I59" s="125"/>
      <c r="J59" s="125"/>
      <c r="K59" s="125"/>
      <c r="L59" s="125"/>
      <c r="M59" s="125"/>
      <c r="N59" s="30">
        <v>0</v>
      </c>
      <c r="O59" s="35">
        <f t="shared" si="0"/>
        <v>0</v>
      </c>
      <c r="P59" s="32">
        <v>0</v>
      </c>
    </row>
    <row r="60" ht="15.75" customHeight="1" spans="1:16">
      <c r="A60" s="127"/>
      <c r="B60" s="140"/>
      <c r="C60" s="122" t="s">
        <v>355</v>
      </c>
      <c r="D60" s="27" t="s">
        <v>143</v>
      </c>
      <c r="E60" s="124"/>
      <c r="F60" s="124"/>
      <c r="G60" s="30">
        <v>0</v>
      </c>
      <c r="H60" s="125"/>
      <c r="I60" s="125"/>
      <c r="J60" s="125"/>
      <c r="K60" s="125"/>
      <c r="L60" s="125"/>
      <c r="M60" s="125"/>
      <c r="N60" s="30">
        <v>0</v>
      </c>
      <c r="O60" s="35">
        <f t="shared" si="0"/>
        <v>0</v>
      </c>
      <c r="P60" s="32">
        <v>0</v>
      </c>
    </row>
    <row r="61" ht="15.75" customHeight="1" spans="1:16">
      <c r="A61" s="147"/>
      <c r="B61" s="140"/>
      <c r="C61" s="122" t="s">
        <v>356</v>
      </c>
      <c r="D61" s="27" t="s">
        <v>143</v>
      </c>
      <c r="E61" s="124"/>
      <c r="F61" s="124"/>
      <c r="G61" s="30">
        <v>0</v>
      </c>
      <c r="H61" s="125"/>
      <c r="I61" s="125"/>
      <c r="J61" s="125"/>
      <c r="K61" s="125"/>
      <c r="L61" s="125"/>
      <c r="M61" s="125"/>
      <c r="N61" s="30">
        <v>0</v>
      </c>
      <c r="O61" s="35">
        <f t="shared" si="0"/>
        <v>0</v>
      </c>
      <c r="P61" s="32">
        <v>0</v>
      </c>
    </row>
    <row r="62" ht="15.75" customHeight="1" spans="1:16">
      <c r="A62" s="147"/>
      <c r="B62" s="140" t="s">
        <v>183</v>
      </c>
      <c r="C62" s="122" t="s">
        <v>354</v>
      </c>
      <c r="D62" s="27" t="s">
        <v>143</v>
      </c>
      <c r="E62" s="124"/>
      <c r="F62" s="124"/>
      <c r="G62" s="30">
        <v>0</v>
      </c>
      <c r="H62" s="125"/>
      <c r="I62" s="125"/>
      <c r="J62" s="125"/>
      <c r="K62" s="125"/>
      <c r="L62" s="125"/>
      <c r="M62" s="125"/>
      <c r="N62" s="30">
        <v>0</v>
      </c>
      <c r="O62" s="35">
        <f t="shared" si="0"/>
        <v>0</v>
      </c>
      <c r="P62" s="32">
        <v>0</v>
      </c>
    </row>
    <row r="63" ht="15.75" customHeight="1" spans="1:16">
      <c r="A63" s="127"/>
      <c r="B63" s="140"/>
      <c r="C63" s="122" t="s">
        <v>355</v>
      </c>
      <c r="D63" s="27" t="s">
        <v>143</v>
      </c>
      <c r="E63" s="124"/>
      <c r="F63" s="124"/>
      <c r="G63" s="30">
        <v>0</v>
      </c>
      <c r="H63" s="125"/>
      <c r="I63" s="125"/>
      <c r="J63" s="125"/>
      <c r="K63" s="125"/>
      <c r="L63" s="125"/>
      <c r="M63" s="125"/>
      <c r="N63" s="30">
        <v>0</v>
      </c>
      <c r="O63" s="35">
        <f t="shared" si="0"/>
        <v>0</v>
      </c>
      <c r="P63" s="32">
        <v>0</v>
      </c>
    </row>
    <row r="64" ht="15.75" customHeight="1" spans="1:16">
      <c r="A64" s="147"/>
      <c r="B64" s="140"/>
      <c r="C64" s="122" t="s">
        <v>356</v>
      </c>
      <c r="D64" s="27" t="s">
        <v>143</v>
      </c>
      <c r="E64" s="124"/>
      <c r="F64" s="124"/>
      <c r="G64" s="30">
        <v>0</v>
      </c>
      <c r="H64" s="125"/>
      <c r="I64" s="125"/>
      <c r="J64" s="125"/>
      <c r="K64" s="125"/>
      <c r="L64" s="125"/>
      <c r="M64" s="125"/>
      <c r="N64" s="30">
        <v>0</v>
      </c>
      <c r="O64" s="35">
        <f t="shared" si="0"/>
        <v>0</v>
      </c>
      <c r="P64" s="32">
        <v>0</v>
      </c>
    </row>
    <row r="65" ht="15.75" customHeight="1" spans="1:16">
      <c r="A65" s="147"/>
      <c r="B65" s="140" t="s">
        <v>184</v>
      </c>
      <c r="C65" s="122"/>
      <c r="D65" s="27" t="s">
        <v>143</v>
      </c>
      <c r="E65" s="124"/>
      <c r="F65" s="124"/>
      <c r="G65" s="30">
        <v>0</v>
      </c>
      <c r="H65" s="125"/>
      <c r="I65" s="125"/>
      <c r="J65" s="125"/>
      <c r="K65" s="125"/>
      <c r="L65" s="125"/>
      <c r="M65" s="125"/>
      <c r="N65" s="30">
        <v>0</v>
      </c>
      <c r="O65" s="35">
        <f t="shared" si="0"/>
        <v>0</v>
      </c>
      <c r="P65" s="32">
        <v>0</v>
      </c>
    </row>
    <row r="66" ht="15.75" customHeight="1" spans="1:16">
      <c r="A66" s="127"/>
      <c r="B66" s="140" t="s">
        <v>77</v>
      </c>
      <c r="C66" s="122"/>
      <c r="D66" s="27" t="s">
        <v>143</v>
      </c>
      <c r="E66" s="124"/>
      <c r="F66" s="124"/>
      <c r="G66" s="35">
        <f>G51+G56+G57+G58+G59+G60+G61+G62+G63+G64+G65</f>
        <v>169095360</v>
      </c>
      <c r="H66" s="125"/>
      <c r="I66" s="125"/>
      <c r="J66" s="125"/>
      <c r="K66" s="125"/>
      <c r="L66" s="125"/>
      <c r="M66" s="125"/>
      <c r="N66" s="35">
        <v>184017280</v>
      </c>
      <c r="O66" s="35">
        <f t="shared" si="0"/>
        <v>14921920</v>
      </c>
      <c r="P66" s="32">
        <v>0.0882455911</v>
      </c>
    </row>
    <row r="67" ht="15.75" customHeight="1" spans="1:16">
      <c r="A67" s="127" t="s">
        <v>357</v>
      </c>
      <c r="B67" s="140"/>
      <c r="C67" s="122"/>
      <c r="D67" s="27" t="s">
        <v>143</v>
      </c>
      <c r="E67" s="30">
        <v>0</v>
      </c>
      <c r="F67" s="30">
        <v>0</v>
      </c>
      <c r="G67" s="30">
        <v>0</v>
      </c>
      <c r="H67" s="125"/>
      <c r="I67" s="125"/>
      <c r="J67" s="125"/>
      <c r="K67" s="125"/>
      <c r="L67" s="125"/>
      <c r="M67" s="125"/>
      <c r="N67" s="30">
        <v>0</v>
      </c>
      <c r="O67" s="35">
        <f t="shared" si="0"/>
        <v>0</v>
      </c>
      <c r="P67" s="32">
        <v>0</v>
      </c>
    </row>
    <row r="68" ht="15.75" customHeight="1" spans="1:16">
      <c r="A68" s="142" t="s">
        <v>358</v>
      </c>
      <c r="B68" s="122"/>
      <c r="C68" s="122"/>
      <c r="D68" s="27" t="s">
        <v>143</v>
      </c>
      <c r="E68" s="124"/>
      <c r="F68" s="124"/>
      <c r="G68" s="35">
        <v>350268960</v>
      </c>
      <c r="H68" s="125"/>
      <c r="I68" s="125"/>
      <c r="J68" s="125"/>
      <c r="K68" s="125"/>
      <c r="L68" s="125"/>
      <c r="M68" s="125"/>
      <c r="N68" s="35">
        <v>350782940</v>
      </c>
      <c r="O68" s="35">
        <f t="shared" si="0"/>
        <v>513980</v>
      </c>
      <c r="P68" s="32">
        <v>0.0014673867</v>
      </c>
    </row>
  </sheetData>
  <mergeCells count="42">
    <mergeCell ref="A1:P1"/>
    <mergeCell ref="O2:P2"/>
    <mergeCell ref="A3:B3"/>
    <mergeCell ref="C3:E3"/>
    <mergeCell ref="H4:I4"/>
    <mergeCell ref="J4:K4"/>
    <mergeCell ref="L4:M4"/>
    <mergeCell ref="N4:P4"/>
    <mergeCell ref="B6:C6"/>
    <mergeCell ref="B35:C35"/>
    <mergeCell ref="B36:C36"/>
    <mergeCell ref="A49:C49"/>
    <mergeCell ref="A50:C50"/>
    <mergeCell ref="B51:C51"/>
    <mergeCell ref="B52:C52"/>
    <mergeCell ref="B53:C53"/>
    <mergeCell ref="B54:C54"/>
    <mergeCell ref="B55:C55"/>
    <mergeCell ref="B65:C65"/>
    <mergeCell ref="B66:C66"/>
    <mergeCell ref="A67:C67"/>
    <mergeCell ref="A68:C68"/>
    <mergeCell ref="A6:A34"/>
    <mergeCell ref="A35:A48"/>
    <mergeCell ref="A51:A66"/>
    <mergeCell ref="B7:B13"/>
    <mergeCell ref="B14:B18"/>
    <mergeCell ref="B19:B22"/>
    <mergeCell ref="B23:B28"/>
    <mergeCell ref="B29:B32"/>
    <mergeCell ref="B33:B34"/>
    <mergeCell ref="B37:B42"/>
    <mergeCell ref="B43:B46"/>
    <mergeCell ref="B47:B48"/>
    <mergeCell ref="B56:B58"/>
    <mergeCell ref="B59:B61"/>
    <mergeCell ref="B62:B64"/>
    <mergeCell ref="D4:D5"/>
    <mergeCell ref="E4:E5"/>
    <mergeCell ref="F4:F5"/>
    <mergeCell ref="G4:G5"/>
    <mergeCell ref="A4:C5"/>
  </mergeCells>
  <printOptions horizontalCentered="1"/>
  <pageMargins left="1.18110236220472" right="1.18110236220472" top="1.18110236220472" bottom="1.18110236220472" header="0.51181" footer="0.51181"/>
  <pageSetup paperSize="9" scale="40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zoomScalePageLayoutView="60" workbookViewId="0">
      <pane topLeftCell="D1" activePane="bottomRight" state="frozen"/>
      <selection activeCell="A1" sqref="A1:S1"/>
    </sheetView>
  </sheetViews>
  <sheetFormatPr defaultColWidth="8" defaultRowHeight="14.25"/>
  <cols>
    <col min="1" max="1" width="22.0833333333333" style="1"/>
    <col min="2" max="2" width="7.88333333333333" style="1"/>
    <col min="3" max="3" width="5.30833333333333" style="1"/>
    <col min="4" max="5" width="18.2083333333333" style="1"/>
    <col min="6" max="6" width="16.6333333333333" style="1"/>
    <col min="7" max="8" width="18.2083333333333" style="1"/>
    <col min="9" max="9" width="16.6333333333333" style="1"/>
    <col min="10" max="11" width="18.2083333333333" style="1"/>
    <col min="12" max="12" width="16.6333333333333" style="1"/>
    <col min="13" max="13" width="18.2083333333333" style="1"/>
    <col min="14" max="16" width="16.6333333333333" style="1"/>
    <col min="17" max="19" width="18.2083333333333" style="1"/>
  </cols>
  <sheetData>
    <row r="1" ht="39" customHeight="1" spans="1:19">
      <c r="A1" s="20" t="s">
        <v>359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ht="18" customHeight="1" spans="1:19">
      <c r="A2" s="60"/>
      <c r="B2" s="60"/>
      <c r="C2" s="98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107" t="s">
        <v>38</v>
      </c>
    </row>
    <row r="3" ht="21.75" customHeight="1" spans="1:19">
      <c r="A3" s="49" t="s">
        <v>1</v>
      </c>
      <c r="B3" s="50" t="s">
        <v>52</v>
      </c>
      <c r="C3" s="99"/>
      <c r="D3" s="99"/>
      <c r="E3" s="99"/>
      <c r="F3" s="99"/>
      <c r="G3" s="49"/>
      <c r="H3" s="49"/>
      <c r="I3" s="49"/>
      <c r="J3" s="49"/>
      <c r="K3" s="61"/>
      <c r="L3" s="67"/>
      <c r="M3" s="67"/>
      <c r="N3" s="67"/>
      <c r="O3" s="67"/>
      <c r="P3" s="51"/>
      <c r="Q3" s="51"/>
      <c r="R3" s="51"/>
      <c r="S3" s="67" t="s">
        <v>203</v>
      </c>
    </row>
    <row r="4" ht="16.5" customHeight="1" spans="1:19">
      <c r="A4" s="62" t="s">
        <v>360</v>
      </c>
      <c r="B4" s="62"/>
      <c r="C4" s="62" t="s">
        <v>110</v>
      </c>
      <c r="D4" s="109" t="s">
        <v>132</v>
      </c>
      <c r="E4" s="110"/>
      <c r="F4" s="111"/>
      <c r="G4" s="57" t="s">
        <v>133</v>
      </c>
      <c r="H4" s="57"/>
      <c r="I4" s="57"/>
      <c r="J4" s="57" t="s">
        <v>134</v>
      </c>
      <c r="K4" s="57"/>
      <c r="L4" s="57"/>
      <c r="M4" s="57" t="s">
        <v>112</v>
      </c>
      <c r="N4" s="57"/>
      <c r="O4" s="57"/>
      <c r="P4" s="57"/>
      <c r="Q4" s="57"/>
      <c r="R4" s="57"/>
      <c r="S4" s="57"/>
    </row>
    <row r="5" ht="33" customHeight="1" spans="1:19">
      <c r="A5" s="62" t="s">
        <v>148</v>
      </c>
      <c r="B5" s="62"/>
      <c r="C5" s="62"/>
      <c r="D5" s="62" t="s">
        <v>135</v>
      </c>
      <c r="E5" s="62" t="s">
        <v>136</v>
      </c>
      <c r="F5" s="62" t="s">
        <v>137</v>
      </c>
      <c r="G5" s="62" t="s">
        <v>135</v>
      </c>
      <c r="H5" s="62" t="s">
        <v>136</v>
      </c>
      <c r="I5" s="62" t="s">
        <v>137</v>
      </c>
      <c r="J5" s="62" t="s">
        <v>135</v>
      </c>
      <c r="K5" s="62" t="s">
        <v>136</v>
      </c>
      <c r="L5" s="62" t="s">
        <v>137</v>
      </c>
      <c r="M5" s="62" t="s">
        <v>135</v>
      </c>
      <c r="N5" s="62" t="s">
        <v>138</v>
      </c>
      <c r="O5" s="62" t="s">
        <v>361</v>
      </c>
      <c r="P5" s="62" t="s">
        <v>362</v>
      </c>
      <c r="Q5" s="62" t="s">
        <v>363</v>
      </c>
      <c r="R5" s="62" t="s">
        <v>118</v>
      </c>
      <c r="S5" s="62" t="s">
        <v>119</v>
      </c>
    </row>
    <row r="6" spans="1:19">
      <c r="A6" s="112" t="s">
        <v>204</v>
      </c>
      <c r="B6" s="113"/>
      <c r="C6" s="57" t="s">
        <v>65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>
      <c r="A7" s="114" t="s">
        <v>205</v>
      </c>
      <c r="B7" s="114"/>
      <c r="C7" s="57" t="s">
        <v>206</v>
      </c>
      <c r="D7" s="58">
        <v>64058</v>
      </c>
      <c r="E7" s="58">
        <v>85462</v>
      </c>
      <c r="F7" s="59">
        <v>0.7495495074</v>
      </c>
      <c r="G7" s="58">
        <v>71094</v>
      </c>
      <c r="H7" s="58">
        <v>81916</v>
      </c>
      <c r="I7" s="59">
        <v>0.8678890571</v>
      </c>
      <c r="J7" s="58">
        <v>61030</v>
      </c>
      <c r="K7" s="58">
        <v>71903</v>
      </c>
      <c r="L7" s="59">
        <v>0.8487823874</v>
      </c>
      <c r="M7" s="58">
        <v>50331</v>
      </c>
      <c r="N7" s="59">
        <v>0.8220736506</v>
      </c>
      <c r="O7" s="58">
        <v>0</v>
      </c>
      <c r="P7" s="59">
        <f>N7+O7</f>
        <v>0.8220736506</v>
      </c>
      <c r="Q7" s="63">
        <v>61224</v>
      </c>
      <c r="R7" s="58">
        <v>61224</v>
      </c>
      <c r="S7" s="63">
        <f>Q7-R7</f>
        <v>0</v>
      </c>
    </row>
    <row r="8" spans="1:19">
      <c r="A8" s="114" t="s">
        <v>207</v>
      </c>
      <c r="B8" s="114"/>
      <c r="C8" s="57" t="s">
        <v>143</v>
      </c>
      <c r="D8" s="58">
        <v>442613060</v>
      </c>
      <c r="E8" s="58">
        <v>720094453</v>
      </c>
      <c r="F8" s="59">
        <v>0.6146597271</v>
      </c>
      <c r="G8" s="58">
        <v>563466320.54</v>
      </c>
      <c r="H8" s="58">
        <v>622160702.53</v>
      </c>
      <c r="I8" s="59">
        <v>0.9056604158</v>
      </c>
      <c r="J8" s="58">
        <v>512993495.3</v>
      </c>
      <c r="K8" s="58">
        <v>608249980.52</v>
      </c>
      <c r="L8" s="59">
        <v>0.8433925388</v>
      </c>
      <c r="M8" s="58">
        <v>404181110.12</v>
      </c>
      <c r="N8" s="59">
        <v>0.7879042272</v>
      </c>
      <c r="O8" s="58">
        <v>0</v>
      </c>
      <c r="P8" s="59">
        <f>N8+O8</f>
        <v>0.7879042272</v>
      </c>
      <c r="Q8" s="64">
        <v>512982537.94</v>
      </c>
      <c r="R8" s="58">
        <v>512982537.94</v>
      </c>
      <c r="S8" s="64">
        <f>Q8-R8</f>
        <v>0</v>
      </c>
    </row>
    <row r="9" spans="1:19">
      <c r="A9" s="115" t="s">
        <v>364</v>
      </c>
      <c r="B9" s="116"/>
      <c r="C9" s="57" t="s">
        <v>143</v>
      </c>
      <c r="D9" s="58">
        <v>247637117</v>
      </c>
      <c r="E9" s="58">
        <v>417654782.93</v>
      </c>
      <c r="F9" s="59">
        <v>0.5929229764</v>
      </c>
      <c r="G9" s="58">
        <v>283852589</v>
      </c>
      <c r="H9" s="58">
        <v>355454811.82</v>
      </c>
      <c r="I9" s="59">
        <v>0.7985616724</v>
      </c>
      <c r="J9" s="58">
        <v>268097463.5</v>
      </c>
      <c r="K9" s="58">
        <v>312623459.57</v>
      </c>
      <c r="L9" s="59">
        <v>0.8575730813</v>
      </c>
      <c r="M9" s="58">
        <v>247184498.75</v>
      </c>
      <c r="N9" s="59">
        <v>0.74968591</v>
      </c>
      <c r="O9" s="58">
        <v>0.02</v>
      </c>
      <c r="P9" s="59">
        <f>N9+O9</f>
        <v>0.76968591</v>
      </c>
      <c r="Q9" s="64">
        <v>321149829.48</v>
      </c>
      <c r="R9" s="58">
        <v>321149829.48</v>
      </c>
      <c r="S9" s="64">
        <f>Q9-R9</f>
        <v>0</v>
      </c>
    </row>
    <row r="10" spans="1:19">
      <c r="A10" s="114" t="s">
        <v>210</v>
      </c>
      <c r="B10" s="114"/>
      <c r="C10" s="57" t="s">
        <v>65</v>
      </c>
      <c r="D10" s="114"/>
      <c r="E10" s="114"/>
      <c r="F10" s="57"/>
      <c r="G10" s="57"/>
      <c r="H10" s="57"/>
      <c r="I10" s="106"/>
      <c r="J10" s="57"/>
      <c r="K10" s="57"/>
      <c r="L10" s="106"/>
      <c r="M10" s="57"/>
      <c r="N10" s="57"/>
      <c r="O10" s="106"/>
      <c r="P10" s="57"/>
      <c r="Q10" s="106"/>
      <c r="R10" s="57"/>
      <c r="S10" s="106"/>
    </row>
    <row r="11" spans="1:19">
      <c r="A11" s="114" t="s">
        <v>211</v>
      </c>
      <c r="B11" s="114"/>
      <c r="C11" s="57" t="s">
        <v>65</v>
      </c>
      <c r="D11" s="114"/>
      <c r="E11" s="114"/>
      <c r="F11" s="57"/>
      <c r="G11" s="57"/>
      <c r="H11" s="114"/>
      <c r="I11" s="114"/>
      <c r="J11" s="114"/>
      <c r="K11" s="114"/>
      <c r="L11" s="57"/>
      <c r="M11" s="114"/>
      <c r="N11" s="114"/>
      <c r="O11" s="57"/>
      <c r="P11" s="114"/>
      <c r="Q11" s="114"/>
      <c r="R11" s="114"/>
      <c r="S11" s="114"/>
    </row>
    <row r="12" spans="1:19">
      <c r="A12" s="114" t="s">
        <v>212</v>
      </c>
      <c r="B12" s="114"/>
      <c r="C12" s="57" t="s">
        <v>206</v>
      </c>
      <c r="D12" s="117">
        <v>240592</v>
      </c>
      <c r="E12" s="117">
        <v>307531</v>
      </c>
      <c r="F12" s="59">
        <v>0.7823341387</v>
      </c>
      <c r="G12" s="58">
        <v>252378</v>
      </c>
      <c r="H12" s="58">
        <v>316523</v>
      </c>
      <c r="I12" s="59">
        <v>0.7973449007</v>
      </c>
      <c r="J12" s="58">
        <v>143232</v>
      </c>
      <c r="K12" s="58">
        <v>203839</v>
      </c>
      <c r="L12" s="59">
        <v>0.702672207</v>
      </c>
      <c r="M12" s="58">
        <v>252203</v>
      </c>
      <c r="N12" s="59">
        <v>0.7607837488</v>
      </c>
      <c r="O12" s="58">
        <v>0</v>
      </c>
      <c r="P12" s="59">
        <f>N12+O12</f>
        <v>0.7607837488</v>
      </c>
      <c r="Q12" s="63">
        <v>331504</v>
      </c>
      <c r="R12" s="58">
        <v>331504</v>
      </c>
      <c r="S12" s="63">
        <f>Q12-R12</f>
        <v>0</v>
      </c>
    </row>
    <row r="13" spans="1:19">
      <c r="A13" s="114" t="s">
        <v>213</v>
      </c>
      <c r="B13" s="114"/>
      <c r="C13" s="57" t="s">
        <v>143</v>
      </c>
      <c r="D13" s="117">
        <v>23728900</v>
      </c>
      <c r="E13" s="117">
        <v>30368024</v>
      </c>
      <c r="F13" s="59">
        <v>0.7813778071</v>
      </c>
      <c r="G13" s="58">
        <v>26045381</v>
      </c>
      <c r="H13" s="58">
        <v>37405674.34</v>
      </c>
      <c r="I13" s="59">
        <v>0.6962949194</v>
      </c>
      <c r="J13" s="58">
        <v>14238516.84</v>
      </c>
      <c r="K13" s="58">
        <v>23751110.26</v>
      </c>
      <c r="L13" s="59">
        <v>0.5994884738</v>
      </c>
      <c r="M13" s="58">
        <v>21705502.25</v>
      </c>
      <c r="N13" s="59">
        <v>0.6923870668</v>
      </c>
      <c r="O13" s="58">
        <v>0.03</v>
      </c>
      <c r="P13" s="59">
        <f>N13+O13</f>
        <v>0.7223870668</v>
      </c>
      <c r="Q13" s="64">
        <v>30046914.25</v>
      </c>
      <c r="R13" s="58">
        <v>30046914.25</v>
      </c>
      <c r="S13" s="64">
        <f>Q13-R13</f>
        <v>0</v>
      </c>
    </row>
    <row r="14" spans="1:19">
      <c r="A14" s="114" t="s">
        <v>364</v>
      </c>
      <c r="B14" s="114"/>
      <c r="C14" s="57" t="s">
        <v>143</v>
      </c>
      <c r="D14" s="117">
        <v>12270800</v>
      </c>
      <c r="E14" s="58">
        <v>14909437</v>
      </c>
      <c r="F14" s="59">
        <v>0.8230223583</v>
      </c>
      <c r="G14" s="58">
        <v>12963244</v>
      </c>
      <c r="H14" s="58">
        <v>19925674.65</v>
      </c>
      <c r="I14" s="59">
        <v>0.650579929</v>
      </c>
      <c r="J14" s="58">
        <v>6629382.25</v>
      </c>
      <c r="K14" s="58">
        <v>14012500.32</v>
      </c>
      <c r="L14" s="59">
        <v>0.4731048777</v>
      </c>
      <c r="M14" s="58">
        <v>12312071.26</v>
      </c>
      <c r="N14" s="59">
        <v>0.6489023883</v>
      </c>
      <c r="O14" s="58">
        <v>0.02</v>
      </c>
      <c r="P14" s="59">
        <f>N14+O14</f>
        <v>0.6689023883</v>
      </c>
      <c r="Q14" s="64">
        <v>18406379.58</v>
      </c>
      <c r="R14" s="58">
        <v>18406379.58</v>
      </c>
      <c r="S14" s="64">
        <f>Q14-R14</f>
        <v>0</v>
      </c>
    </row>
    <row r="15" spans="1:19">
      <c r="A15" s="114" t="s">
        <v>216</v>
      </c>
      <c r="B15" s="114"/>
      <c r="C15" s="57" t="s">
        <v>65</v>
      </c>
      <c r="D15" s="115"/>
      <c r="E15" s="116"/>
      <c r="F15" s="57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spans="1:19">
      <c r="A16" s="114" t="s">
        <v>217</v>
      </c>
      <c r="B16" s="114"/>
      <c r="C16" s="57" t="s">
        <v>206</v>
      </c>
      <c r="D16" s="58">
        <v>5295</v>
      </c>
      <c r="E16" s="58">
        <v>7060</v>
      </c>
      <c r="F16" s="59">
        <v>0.75</v>
      </c>
      <c r="G16" s="58">
        <v>131874</v>
      </c>
      <c r="H16" s="58">
        <v>175211</v>
      </c>
      <c r="I16" s="59">
        <v>0.7526582235</v>
      </c>
      <c r="J16" s="58">
        <v>116520</v>
      </c>
      <c r="K16" s="58">
        <v>162110</v>
      </c>
      <c r="L16" s="59">
        <v>0.7187712047</v>
      </c>
      <c r="M16" s="58">
        <v>186427</v>
      </c>
      <c r="N16" s="59">
        <v>0.7404764761</v>
      </c>
      <c r="O16" s="58">
        <v>0</v>
      </c>
      <c r="P16" s="59">
        <f>N16+O16</f>
        <v>0.7404764761</v>
      </c>
      <c r="Q16" s="63">
        <v>251766</v>
      </c>
      <c r="R16" s="58">
        <v>251766</v>
      </c>
      <c r="S16" s="63">
        <f>Q16-R16</f>
        <v>0</v>
      </c>
    </row>
    <row r="17" spans="1:19">
      <c r="A17" s="114" t="s">
        <v>213</v>
      </c>
      <c r="B17" s="114"/>
      <c r="C17" s="57" t="s">
        <v>143</v>
      </c>
      <c r="D17" s="58">
        <v>3008026.25</v>
      </c>
      <c r="E17" s="58">
        <v>4010701.67</v>
      </c>
      <c r="F17" s="59">
        <v>0.7499999994</v>
      </c>
      <c r="G17" s="58">
        <v>69801284.82</v>
      </c>
      <c r="H17" s="58">
        <v>85068379.43</v>
      </c>
      <c r="I17" s="59">
        <v>0.8205314982</v>
      </c>
      <c r="J17" s="58">
        <v>65926798.9</v>
      </c>
      <c r="K17" s="58">
        <v>86741100.1</v>
      </c>
      <c r="L17" s="59">
        <v>0.7600410742</v>
      </c>
      <c r="M17" s="58">
        <v>130024556.3</v>
      </c>
      <c r="N17" s="59">
        <v>0.7768575239</v>
      </c>
      <c r="O17" s="58">
        <v>0</v>
      </c>
      <c r="P17" s="59">
        <f>N17+O17</f>
        <v>0.7768575239</v>
      </c>
      <c r="Q17" s="64">
        <v>167372461.87</v>
      </c>
      <c r="R17" s="58">
        <v>167372461.87</v>
      </c>
      <c r="S17" s="64">
        <f>Q17-R17</f>
        <v>0</v>
      </c>
    </row>
    <row r="18" spans="1:19">
      <c r="A18" s="114" t="s">
        <v>364</v>
      </c>
      <c r="B18" s="114"/>
      <c r="C18" s="57" t="s">
        <v>143</v>
      </c>
      <c r="D18" s="58">
        <v>1594253.91</v>
      </c>
      <c r="E18" s="58">
        <v>2125671.88</v>
      </c>
      <c r="F18" s="59">
        <v>0.75</v>
      </c>
      <c r="G18" s="58">
        <v>36652334.89</v>
      </c>
      <c r="H18" s="58">
        <v>42704182.74</v>
      </c>
      <c r="I18" s="59">
        <v>0.8582844241</v>
      </c>
      <c r="J18" s="58">
        <v>43329181.4</v>
      </c>
      <c r="K18" s="58">
        <v>70551799.68</v>
      </c>
      <c r="L18" s="59">
        <v>0.6141470749</v>
      </c>
      <c r="M18" s="58">
        <v>93624142.5</v>
      </c>
      <c r="N18" s="59">
        <v>0.7408104997</v>
      </c>
      <c r="O18" s="58">
        <v>0</v>
      </c>
      <c r="P18" s="59">
        <f>N18+O18</f>
        <v>0.7408104997</v>
      </c>
      <c r="Q18" s="64">
        <v>126380690.52</v>
      </c>
      <c r="R18" s="58">
        <v>126380690.52</v>
      </c>
      <c r="S18" s="64">
        <f>Q18-R18</f>
        <v>0</v>
      </c>
    </row>
    <row r="19" spans="1:19">
      <c r="A19" s="114" t="s">
        <v>365</v>
      </c>
      <c r="B19" s="114"/>
      <c r="C19" s="57" t="s">
        <v>65</v>
      </c>
      <c r="D19" s="114"/>
      <c r="E19" s="57"/>
      <c r="F19" s="114"/>
      <c r="G19" s="114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1:19">
      <c r="A20" s="114" t="s">
        <v>366</v>
      </c>
      <c r="B20" s="114"/>
      <c r="C20" s="57" t="s">
        <v>143</v>
      </c>
      <c r="D20" s="58">
        <v>0</v>
      </c>
      <c r="E20" s="58">
        <v>0</v>
      </c>
      <c r="F20" s="59">
        <v>0</v>
      </c>
      <c r="G20" s="58">
        <v>0</v>
      </c>
      <c r="H20" s="58">
        <v>0</v>
      </c>
      <c r="I20" s="59">
        <v>0</v>
      </c>
      <c r="J20" s="58">
        <v>0</v>
      </c>
      <c r="K20" s="58">
        <v>0</v>
      </c>
      <c r="L20" s="59">
        <v>0</v>
      </c>
      <c r="M20" s="58">
        <v>0</v>
      </c>
      <c r="N20" s="59">
        <v>0</v>
      </c>
      <c r="O20" s="58">
        <v>0</v>
      </c>
      <c r="P20" s="59">
        <f>N20+O20</f>
        <v>0</v>
      </c>
      <c r="Q20" s="64">
        <v>0</v>
      </c>
      <c r="R20" s="58">
        <v>0</v>
      </c>
      <c r="S20" s="64">
        <f>Q20-R20</f>
        <v>0</v>
      </c>
    </row>
    <row r="21" spans="1:19">
      <c r="A21" s="114" t="s">
        <v>367</v>
      </c>
      <c r="B21" s="114"/>
      <c r="C21" s="57" t="s">
        <v>143</v>
      </c>
      <c r="D21" s="58">
        <v>0</v>
      </c>
      <c r="E21" s="58">
        <v>0</v>
      </c>
      <c r="F21" s="59">
        <v>0</v>
      </c>
      <c r="G21" s="58">
        <v>0</v>
      </c>
      <c r="H21" s="58">
        <v>0</v>
      </c>
      <c r="I21" s="59">
        <v>0</v>
      </c>
      <c r="J21" s="58">
        <v>0</v>
      </c>
      <c r="K21" s="58">
        <v>0</v>
      </c>
      <c r="L21" s="59">
        <v>0</v>
      </c>
      <c r="M21" s="58">
        <v>0</v>
      </c>
      <c r="N21" s="59">
        <v>0</v>
      </c>
      <c r="O21" s="58">
        <v>0</v>
      </c>
      <c r="P21" s="59">
        <f>N21+O21</f>
        <v>0</v>
      </c>
      <c r="Q21" s="64">
        <v>0</v>
      </c>
      <c r="R21" s="58">
        <v>0</v>
      </c>
      <c r="S21" s="64">
        <f>Q21-R21</f>
        <v>0</v>
      </c>
    </row>
    <row r="22" spans="1:19">
      <c r="A22" s="114" t="s">
        <v>368</v>
      </c>
      <c r="B22" s="114"/>
      <c r="C22" s="57" t="s">
        <v>143</v>
      </c>
      <c r="D22" s="58">
        <v>0</v>
      </c>
      <c r="E22" s="58">
        <v>0</v>
      </c>
      <c r="F22" s="59">
        <v>0</v>
      </c>
      <c r="G22" s="58">
        <v>0</v>
      </c>
      <c r="H22" s="58">
        <v>0</v>
      </c>
      <c r="I22" s="59">
        <v>0</v>
      </c>
      <c r="J22" s="58">
        <v>0</v>
      </c>
      <c r="K22" s="58">
        <v>0</v>
      </c>
      <c r="L22" s="59">
        <v>0</v>
      </c>
      <c r="M22" s="58">
        <v>0</v>
      </c>
      <c r="N22" s="59">
        <v>0</v>
      </c>
      <c r="O22" s="58">
        <v>0</v>
      </c>
      <c r="P22" s="59">
        <f>N22+O22</f>
        <v>0</v>
      </c>
      <c r="Q22" s="64">
        <v>0</v>
      </c>
      <c r="R22" s="58">
        <v>0</v>
      </c>
      <c r="S22" s="64">
        <f>Q22-R22</f>
        <v>0</v>
      </c>
    </row>
    <row r="23" spans="1:19">
      <c r="A23" s="114" t="s">
        <v>369</v>
      </c>
      <c r="B23" s="114"/>
      <c r="C23" s="57" t="s">
        <v>143</v>
      </c>
      <c r="D23" s="58">
        <v>0</v>
      </c>
      <c r="E23" s="58">
        <v>0</v>
      </c>
      <c r="F23" s="59">
        <v>0</v>
      </c>
      <c r="G23" s="58">
        <v>0</v>
      </c>
      <c r="H23" s="58">
        <v>0</v>
      </c>
      <c r="I23" s="59">
        <v>0</v>
      </c>
      <c r="J23" s="58">
        <v>0</v>
      </c>
      <c r="K23" s="58">
        <v>0</v>
      </c>
      <c r="L23" s="59">
        <v>0</v>
      </c>
      <c r="M23" s="58">
        <v>0</v>
      </c>
      <c r="N23" s="59">
        <v>0</v>
      </c>
      <c r="O23" s="58">
        <v>0</v>
      </c>
      <c r="P23" s="59">
        <f>N23+O23</f>
        <v>0</v>
      </c>
      <c r="Q23" s="64">
        <v>0</v>
      </c>
      <c r="R23" s="58">
        <v>0</v>
      </c>
      <c r="S23" s="64">
        <f>Q23-R23</f>
        <v>0</v>
      </c>
    </row>
  </sheetData>
  <mergeCells count="26">
    <mergeCell ref="A1:S1"/>
    <mergeCell ref="B3:F3"/>
    <mergeCell ref="A4:B4"/>
    <mergeCell ref="D4:F4"/>
    <mergeCell ref="G4:I4"/>
    <mergeCell ref="J4:L4"/>
    <mergeCell ref="M4:S4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C4:C5"/>
  </mergeCells>
  <pageMargins left="1.18110236220472" right="1.18110236220472" top="1.18110236220472" bottom="1.18110236220472" header="0.51181" footer="0.51181"/>
  <pageSetup paperSize="9" scale="29" orientation="portrait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showGridLines="0" zoomScalePageLayoutView="60" workbookViewId="0">
      <pane topLeftCell="C7" activePane="bottomRight" state="frozen"/>
      <selection activeCell="A1" sqref="A1:N1"/>
    </sheetView>
  </sheetViews>
  <sheetFormatPr defaultColWidth="8" defaultRowHeight="14.25"/>
  <cols>
    <col min="1" max="1" width="34.85" style="1"/>
    <col min="2" max="2" width="7.025" style="1"/>
    <col min="3" max="5" width="18.2083333333333" style="1"/>
    <col min="6" max="11" width="16.6333333333333" style="1"/>
    <col min="12" max="13" width="18.2083333333333" style="1"/>
    <col min="14" max="14" width="16.6333333333333" style="1"/>
  </cols>
  <sheetData>
    <row r="1" ht="45" customHeight="1" spans="1:14">
      <c r="A1" s="97" t="s">
        <v>370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8" customHeight="1" spans="1:14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107" t="s">
        <v>40</v>
      </c>
      <c r="N2" s="107"/>
    </row>
    <row r="3" ht="16.5" customHeight="1" spans="1:14">
      <c r="A3" s="49" t="s">
        <v>1</v>
      </c>
      <c r="B3" s="50" t="s">
        <v>52</v>
      </c>
      <c r="C3" s="99"/>
      <c r="D3" s="99"/>
      <c r="E3" s="49"/>
      <c r="F3" s="49"/>
      <c r="G3" s="67"/>
      <c r="H3" s="67"/>
      <c r="I3" s="67"/>
      <c r="J3" s="67"/>
      <c r="K3" s="67"/>
      <c r="L3" s="67"/>
      <c r="M3" s="67"/>
      <c r="N3" s="51"/>
    </row>
    <row r="4" ht="16.5" customHeight="1" spans="1:14">
      <c r="A4" s="62" t="s">
        <v>148</v>
      </c>
      <c r="B4" s="62" t="s">
        <v>110</v>
      </c>
      <c r="C4" s="62" t="s">
        <v>149</v>
      </c>
      <c r="D4" s="62" t="s">
        <v>150</v>
      </c>
      <c r="E4" s="62" t="s">
        <v>188</v>
      </c>
      <c r="F4" s="62" t="s">
        <v>317</v>
      </c>
      <c r="G4" s="62"/>
      <c r="H4" s="62" t="s">
        <v>318</v>
      </c>
      <c r="I4" s="62"/>
      <c r="J4" s="62" t="s">
        <v>319</v>
      </c>
      <c r="K4" s="62"/>
      <c r="L4" s="62" t="s">
        <v>76</v>
      </c>
      <c r="M4" s="62"/>
      <c r="N4" s="62"/>
    </row>
    <row r="5" ht="31.5" customHeight="1" spans="1:14">
      <c r="A5" s="57"/>
      <c r="B5" s="57"/>
      <c r="C5" s="62"/>
      <c r="D5" s="62"/>
      <c r="E5" s="62"/>
      <c r="F5" s="62" t="s">
        <v>320</v>
      </c>
      <c r="G5" s="62" t="s">
        <v>155</v>
      </c>
      <c r="H5" s="62" t="s">
        <v>321</v>
      </c>
      <c r="I5" s="62" t="s">
        <v>155</v>
      </c>
      <c r="J5" s="62" t="s">
        <v>322</v>
      </c>
      <c r="K5" s="62" t="s">
        <v>158</v>
      </c>
      <c r="L5" s="62" t="s">
        <v>118</v>
      </c>
      <c r="M5" s="62" t="s">
        <v>323</v>
      </c>
      <c r="N5" s="62" t="s">
        <v>320</v>
      </c>
    </row>
    <row r="6" ht="16.5" customHeight="1" spans="1:14">
      <c r="A6" s="100" t="s">
        <v>204</v>
      </c>
      <c r="B6" s="57" t="s">
        <v>65</v>
      </c>
      <c r="C6" s="57"/>
      <c r="D6" s="57"/>
      <c r="E6" s="57"/>
      <c r="F6" s="57"/>
      <c r="G6" s="101"/>
      <c r="H6" s="101"/>
      <c r="I6" s="57"/>
      <c r="J6" s="57"/>
      <c r="K6" s="57"/>
      <c r="L6" s="57"/>
      <c r="M6" s="57"/>
      <c r="N6" s="57"/>
    </row>
    <row r="7" ht="16.5" customHeight="1" spans="1:14">
      <c r="A7" s="102" t="s">
        <v>227</v>
      </c>
      <c r="B7" s="57" t="s">
        <v>130</v>
      </c>
      <c r="C7" s="59">
        <v>0.136583604</v>
      </c>
      <c r="D7" s="59">
        <v>0.1141388118</v>
      </c>
      <c r="E7" s="59">
        <v>0.1013790089</v>
      </c>
      <c r="F7" s="59">
        <v>-0.1117919724</v>
      </c>
      <c r="G7" s="103">
        <v>0</v>
      </c>
      <c r="H7" s="59">
        <v>-0.0945805403</v>
      </c>
      <c r="I7" s="59">
        <v>1</v>
      </c>
      <c r="J7" s="59">
        <v>-0.0945805403</v>
      </c>
      <c r="K7" s="103">
        <v>0.004</v>
      </c>
      <c r="L7" s="59">
        <v>0.1017845249</v>
      </c>
      <c r="M7" s="59">
        <v>0.000405516</v>
      </c>
      <c r="N7" s="59">
        <v>0.0039999996</v>
      </c>
    </row>
    <row r="8" ht="16.5" customHeight="1" spans="1:14">
      <c r="A8" s="102" t="s">
        <v>228</v>
      </c>
      <c r="B8" s="57" t="s">
        <v>206</v>
      </c>
      <c r="C8" s="104">
        <v>85462</v>
      </c>
      <c r="D8" s="104">
        <v>71903</v>
      </c>
      <c r="E8" s="104">
        <v>61224</v>
      </c>
      <c r="F8" s="59">
        <v>-0.1485195333</v>
      </c>
      <c r="G8" s="105"/>
      <c r="H8" s="59">
        <v>-0.1052201075</v>
      </c>
      <c r="I8" s="106"/>
      <c r="J8" s="106"/>
      <c r="K8" s="105"/>
      <c r="L8" s="63">
        <v>58532</v>
      </c>
      <c r="M8" s="63">
        <v>-2692</v>
      </c>
      <c r="N8" s="59">
        <v>-0.0439696851</v>
      </c>
    </row>
    <row r="9" ht="16.5" customHeight="1" spans="1:14">
      <c r="A9" s="102" t="s">
        <v>229</v>
      </c>
      <c r="B9" s="57" t="s">
        <v>143</v>
      </c>
      <c r="C9" s="64">
        <v>8425.9</v>
      </c>
      <c r="D9" s="64">
        <v>8459.31</v>
      </c>
      <c r="E9" s="64">
        <v>8378.78</v>
      </c>
      <c r="F9" s="59">
        <v>-0.009519689</v>
      </c>
      <c r="G9" s="103">
        <v>0</v>
      </c>
      <c r="H9" s="59">
        <v>-0.0018675793</v>
      </c>
      <c r="I9" s="59">
        <v>1</v>
      </c>
      <c r="J9" s="59">
        <v>-0.0018675793</v>
      </c>
      <c r="K9" s="103">
        <v>0.028</v>
      </c>
      <c r="L9" s="64">
        <v>8613.39</v>
      </c>
      <c r="M9" s="64">
        <v>234.61</v>
      </c>
      <c r="N9" s="59">
        <v>0.0280004965</v>
      </c>
    </row>
    <row r="10" ht="16.5" customHeight="1" spans="1:14">
      <c r="A10" s="102" t="s">
        <v>230</v>
      </c>
      <c r="B10" s="57" t="s">
        <v>143</v>
      </c>
      <c r="C10" s="104">
        <v>720094453</v>
      </c>
      <c r="D10" s="104">
        <v>608249980.52</v>
      </c>
      <c r="E10" s="104">
        <v>512982537.94</v>
      </c>
      <c r="F10" s="59">
        <v>-0.1566254758</v>
      </c>
      <c r="G10" s="105"/>
      <c r="H10" s="59">
        <v>-0.1068911927</v>
      </c>
      <c r="I10" s="106"/>
      <c r="J10" s="106"/>
      <c r="K10" s="105"/>
      <c r="L10" s="64">
        <v>504158943.48</v>
      </c>
      <c r="M10" s="64">
        <v>-8823594.46</v>
      </c>
      <c r="N10" s="59">
        <v>-0.0172005747</v>
      </c>
    </row>
    <row r="11" ht="16.5" customHeight="1" spans="1:14">
      <c r="A11" s="102" t="s">
        <v>371</v>
      </c>
      <c r="B11" s="57" t="s">
        <v>143</v>
      </c>
      <c r="C11" s="104">
        <v>417654782.93</v>
      </c>
      <c r="D11" s="104">
        <v>312623459.57</v>
      </c>
      <c r="E11" s="104">
        <v>321149829.48</v>
      </c>
      <c r="F11" s="59">
        <v>0.0272736087</v>
      </c>
      <c r="G11" s="105"/>
      <c r="H11" s="59">
        <v>-0.0838566951</v>
      </c>
      <c r="I11" s="106"/>
      <c r="J11" s="106"/>
      <c r="K11" s="105"/>
      <c r="L11" s="64">
        <v>325094643.89</v>
      </c>
      <c r="M11" s="64">
        <v>3944814.41</v>
      </c>
      <c r="N11" s="59">
        <v>0.0122834081</v>
      </c>
    </row>
    <row r="12" ht="16.5" customHeight="1" spans="1:14">
      <c r="A12" s="102" t="s">
        <v>372</v>
      </c>
      <c r="B12" s="57" t="s">
        <v>130</v>
      </c>
      <c r="C12" s="59">
        <v>0.5800000003</v>
      </c>
      <c r="D12" s="59">
        <v>0.513972001</v>
      </c>
      <c r="E12" s="59">
        <v>0.6260443694</v>
      </c>
      <c r="F12" s="59">
        <v>0.2180515051</v>
      </c>
      <c r="G12" s="103">
        <v>0</v>
      </c>
      <c r="H12" s="59">
        <v>0.0257913677</v>
      </c>
      <c r="I12" s="59">
        <v>1</v>
      </c>
      <c r="J12" s="59">
        <v>0.0257913677</v>
      </c>
      <c r="K12" s="103">
        <v>0.03</v>
      </c>
      <c r="L12" s="59">
        <v>0.6448257005</v>
      </c>
      <c r="M12" s="59">
        <v>0.0187813311</v>
      </c>
      <c r="N12" s="59">
        <v>0.03</v>
      </c>
    </row>
    <row r="13" ht="16.5" customHeight="1" spans="1:14">
      <c r="A13" s="100" t="s">
        <v>210</v>
      </c>
      <c r="B13" s="57" t="s">
        <v>65</v>
      </c>
      <c r="C13" s="106"/>
      <c r="D13" s="106"/>
      <c r="E13" s="106"/>
      <c r="F13" s="106"/>
      <c r="G13" s="105"/>
      <c r="H13" s="105"/>
      <c r="I13" s="106"/>
      <c r="J13" s="106"/>
      <c r="K13" s="105"/>
      <c r="L13" s="106"/>
      <c r="M13" s="106"/>
      <c r="N13" s="106"/>
    </row>
    <row r="14" ht="16.5" customHeight="1" spans="1:14">
      <c r="A14" s="100" t="s">
        <v>211</v>
      </c>
      <c r="B14" s="57" t="s">
        <v>65</v>
      </c>
      <c r="C14" s="106"/>
      <c r="D14" s="106"/>
      <c r="E14" s="106"/>
      <c r="F14" s="106"/>
      <c r="G14" s="105"/>
      <c r="H14" s="105"/>
      <c r="I14" s="106"/>
      <c r="J14" s="106"/>
      <c r="K14" s="105"/>
      <c r="L14" s="106"/>
      <c r="M14" s="106"/>
      <c r="N14" s="106"/>
    </row>
    <row r="15" ht="16.5" customHeight="1" spans="1:14">
      <c r="A15" s="102" t="s">
        <v>234</v>
      </c>
      <c r="B15" s="57" t="s">
        <v>206</v>
      </c>
      <c r="C15" s="104">
        <v>307531</v>
      </c>
      <c r="D15" s="104">
        <v>203839</v>
      </c>
      <c r="E15" s="104">
        <v>331504</v>
      </c>
      <c r="F15" s="59">
        <v>0.6263031118</v>
      </c>
      <c r="G15" s="103">
        <v>0</v>
      </c>
      <c r="H15" s="59">
        <v>0.0253369876</v>
      </c>
      <c r="I15" s="59">
        <v>1</v>
      </c>
      <c r="J15" s="59">
        <v>0.0253369876</v>
      </c>
      <c r="K15" s="103">
        <v>0.02</v>
      </c>
      <c r="L15" s="63">
        <v>338134</v>
      </c>
      <c r="M15" s="63">
        <v>6630</v>
      </c>
      <c r="N15" s="59">
        <v>0.0199997587</v>
      </c>
    </row>
    <row r="16" ht="16.5" customHeight="1" spans="1:14">
      <c r="A16" s="102" t="s">
        <v>235</v>
      </c>
      <c r="B16" s="57" t="s">
        <v>143</v>
      </c>
      <c r="C16" s="64">
        <v>98.75</v>
      </c>
      <c r="D16" s="64">
        <v>116.52</v>
      </c>
      <c r="E16" s="64">
        <v>90.64</v>
      </c>
      <c r="F16" s="59">
        <v>-0.2221077927</v>
      </c>
      <c r="G16" s="103">
        <v>0</v>
      </c>
      <c r="H16" s="59">
        <v>-0.0281611324</v>
      </c>
      <c r="I16" s="59">
        <v>1</v>
      </c>
      <c r="J16" s="59">
        <v>-0.0281611324</v>
      </c>
      <c r="K16" s="103">
        <v>0</v>
      </c>
      <c r="L16" s="64">
        <v>90.64</v>
      </c>
      <c r="M16" s="64">
        <v>0</v>
      </c>
      <c r="N16" s="59">
        <v>0</v>
      </c>
    </row>
    <row r="17" ht="16.5" customHeight="1" spans="1:14">
      <c r="A17" s="102" t="s">
        <v>236</v>
      </c>
      <c r="B17" s="57" t="s">
        <v>143</v>
      </c>
      <c r="C17" s="104">
        <v>30368024</v>
      </c>
      <c r="D17" s="104">
        <v>23751110.26</v>
      </c>
      <c r="E17" s="104">
        <v>30046914.25</v>
      </c>
      <c r="F17" s="59">
        <v>0.2650740922</v>
      </c>
      <c r="G17" s="105"/>
      <c r="H17" s="59">
        <v>-0.0035371443</v>
      </c>
      <c r="I17" s="106"/>
      <c r="J17" s="106"/>
      <c r="K17" s="105"/>
      <c r="L17" s="64">
        <v>30648473.01</v>
      </c>
      <c r="M17" s="64">
        <v>601558.76</v>
      </c>
      <c r="N17" s="59">
        <v>0.0200206502</v>
      </c>
    </row>
    <row r="18" ht="16.5" customHeight="1" spans="1:14">
      <c r="A18" s="102" t="s">
        <v>373</v>
      </c>
      <c r="B18" s="57" t="s">
        <v>143</v>
      </c>
      <c r="C18" s="104">
        <v>14909437</v>
      </c>
      <c r="D18" s="104">
        <v>14012500.32</v>
      </c>
      <c r="E18" s="104">
        <v>18406379.58</v>
      </c>
      <c r="F18" s="59">
        <v>0.3135685395</v>
      </c>
      <c r="G18" s="105"/>
      <c r="H18" s="59">
        <v>0.0727595182</v>
      </c>
      <c r="I18" s="106"/>
      <c r="J18" s="106"/>
      <c r="K18" s="105"/>
      <c r="L18" s="64">
        <v>18774887.27</v>
      </c>
      <c r="M18" s="64">
        <v>368507.69</v>
      </c>
      <c r="N18" s="59">
        <v>0.0200206504</v>
      </c>
    </row>
    <row r="19" ht="16.5" customHeight="1" spans="1:14">
      <c r="A19" s="102" t="s">
        <v>374</v>
      </c>
      <c r="B19" s="57" t="s">
        <v>130</v>
      </c>
      <c r="C19" s="59">
        <v>0.4909584173</v>
      </c>
      <c r="D19" s="59">
        <v>0.5899724336</v>
      </c>
      <c r="E19" s="59">
        <v>0.6125880158</v>
      </c>
      <c r="F19" s="59">
        <v>0.0383332863</v>
      </c>
      <c r="G19" s="103">
        <v>0</v>
      </c>
      <c r="H19" s="59">
        <v>0.0765674927</v>
      </c>
      <c r="I19" s="59">
        <v>1</v>
      </c>
      <c r="J19" s="59">
        <v>0.0765674927</v>
      </c>
      <c r="K19" s="103">
        <v>0</v>
      </c>
      <c r="L19" s="59">
        <v>0.6125880158</v>
      </c>
      <c r="M19" s="59">
        <v>0</v>
      </c>
      <c r="N19" s="59">
        <v>0</v>
      </c>
    </row>
    <row r="20" ht="16.5" customHeight="1" spans="1:14">
      <c r="A20" s="100" t="s">
        <v>216</v>
      </c>
      <c r="B20" s="57" t="s">
        <v>65</v>
      </c>
      <c r="C20" s="106"/>
      <c r="D20" s="106"/>
      <c r="E20" s="106"/>
      <c r="F20" s="106"/>
      <c r="G20" s="105"/>
      <c r="H20" s="105"/>
      <c r="I20" s="106"/>
      <c r="J20" s="106"/>
      <c r="K20" s="105"/>
      <c r="L20" s="106"/>
      <c r="M20" s="106"/>
      <c r="N20" s="106"/>
    </row>
    <row r="21" ht="16.5" customHeight="1" spans="1:14">
      <c r="A21" s="102" t="s">
        <v>241</v>
      </c>
      <c r="B21" s="57" t="s">
        <v>206</v>
      </c>
      <c r="C21" s="104">
        <v>7060</v>
      </c>
      <c r="D21" s="104">
        <v>162110</v>
      </c>
      <c r="E21" s="104">
        <v>251766</v>
      </c>
      <c r="F21" s="59">
        <v>0.5530565665</v>
      </c>
      <c r="G21" s="103">
        <v>0</v>
      </c>
      <c r="H21" s="59">
        <v>2.291527286</v>
      </c>
      <c r="I21" s="59">
        <v>1</v>
      </c>
      <c r="J21" s="59">
        <v>2.291527286</v>
      </c>
      <c r="K21" s="103">
        <v>0.03</v>
      </c>
      <c r="L21" s="63">
        <v>259319</v>
      </c>
      <c r="M21" s="63">
        <v>7553</v>
      </c>
      <c r="N21" s="59">
        <v>0.0300000794</v>
      </c>
    </row>
    <row r="22" ht="16.5" customHeight="1" spans="1:14">
      <c r="A22" s="102" t="s">
        <v>235</v>
      </c>
      <c r="B22" s="57" t="s">
        <v>143</v>
      </c>
      <c r="C22" s="64">
        <v>568.09</v>
      </c>
      <c r="D22" s="64">
        <v>535.08</v>
      </c>
      <c r="E22" s="64">
        <v>664.79</v>
      </c>
      <c r="F22" s="59">
        <v>0.2424123496</v>
      </c>
      <c r="G22" s="103">
        <v>0</v>
      </c>
      <c r="H22" s="59">
        <v>0.0537941367</v>
      </c>
      <c r="I22" s="59">
        <v>1</v>
      </c>
      <c r="J22" s="59">
        <v>0.0537941367</v>
      </c>
      <c r="K22" s="103">
        <v>0</v>
      </c>
      <c r="L22" s="64">
        <v>664.79</v>
      </c>
      <c r="M22" s="64">
        <v>0</v>
      </c>
      <c r="N22" s="59">
        <v>0</v>
      </c>
    </row>
    <row r="23" ht="16.5" customHeight="1" spans="1:14">
      <c r="A23" s="102" t="s">
        <v>242</v>
      </c>
      <c r="B23" s="57" t="s">
        <v>143</v>
      </c>
      <c r="C23" s="104">
        <v>4010701.67</v>
      </c>
      <c r="D23" s="104">
        <v>86741100.1</v>
      </c>
      <c r="E23" s="104">
        <v>167372461.87</v>
      </c>
      <c r="F23" s="59">
        <v>0.9295635135</v>
      </c>
      <c r="G23" s="105"/>
      <c r="H23" s="59">
        <v>2.4686026252</v>
      </c>
      <c r="I23" s="106"/>
      <c r="J23" s="106"/>
      <c r="K23" s="105"/>
      <c r="L23" s="64">
        <v>172392678.01</v>
      </c>
      <c r="M23" s="64">
        <v>5020216.14</v>
      </c>
      <c r="N23" s="59">
        <v>0.0299942779</v>
      </c>
    </row>
    <row r="24" ht="16.5" customHeight="1" spans="1:14">
      <c r="A24" s="102" t="s">
        <v>373</v>
      </c>
      <c r="B24" s="57" t="s">
        <v>143</v>
      </c>
      <c r="C24" s="104">
        <v>2125671.88</v>
      </c>
      <c r="D24" s="104">
        <v>70551799.68</v>
      </c>
      <c r="E24" s="104">
        <v>126380690.52</v>
      </c>
      <c r="F24" s="59">
        <v>0.7913177423</v>
      </c>
      <c r="G24" s="105"/>
      <c r="H24" s="59">
        <v>2.9029665766</v>
      </c>
      <c r="I24" s="106"/>
      <c r="J24" s="106"/>
      <c r="K24" s="105"/>
      <c r="L24" s="64">
        <v>130171388.07</v>
      </c>
      <c r="M24" s="64">
        <v>3790697.55</v>
      </c>
      <c r="N24" s="59">
        <v>0.0299942779</v>
      </c>
    </row>
    <row r="25" ht="16.5" customHeight="1" spans="1:14">
      <c r="A25" s="102" t="s">
        <v>375</v>
      </c>
      <c r="B25" s="57" t="s">
        <v>130</v>
      </c>
      <c r="C25" s="59">
        <v>0.5299999987</v>
      </c>
      <c r="D25" s="59">
        <v>0.8133606745</v>
      </c>
      <c r="E25" s="59">
        <v>0.7550865244</v>
      </c>
      <c r="F25" s="59">
        <v>-0.0716461367</v>
      </c>
      <c r="G25" s="103">
        <v>0</v>
      </c>
      <c r="H25" s="59">
        <v>0.1252273605</v>
      </c>
      <c r="I25" s="59">
        <v>1</v>
      </c>
      <c r="J25" s="59">
        <v>0.1252273605</v>
      </c>
      <c r="K25" s="103">
        <v>0</v>
      </c>
      <c r="L25" s="59">
        <v>0.7550865244</v>
      </c>
      <c r="M25" s="59">
        <v>0</v>
      </c>
      <c r="N25" s="59">
        <v>0</v>
      </c>
    </row>
    <row r="26" ht="16.5" customHeight="1" spans="1:14">
      <c r="A26" s="100" t="s">
        <v>365</v>
      </c>
      <c r="B26" s="57" t="s">
        <v>65</v>
      </c>
      <c r="C26" s="106"/>
      <c r="D26" s="106"/>
      <c r="E26" s="106"/>
      <c r="F26" s="106"/>
      <c r="G26" s="105"/>
      <c r="H26" s="105"/>
      <c r="I26" s="106"/>
      <c r="J26" s="106"/>
      <c r="K26" s="105"/>
      <c r="L26" s="106"/>
      <c r="M26" s="106"/>
      <c r="N26" s="106"/>
    </row>
    <row r="27" ht="16.5" customHeight="1" spans="1:14">
      <c r="A27" s="100" t="s">
        <v>376</v>
      </c>
      <c r="B27" s="57" t="s">
        <v>65</v>
      </c>
      <c r="C27" s="106"/>
      <c r="D27" s="106"/>
      <c r="E27" s="106"/>
      <c r="F27" s="106"/>
      <c r="G27" s="105"/>
      <c r="H27" s="105"/>
      <c r="I27" s="106"/>
      <c r="J27" s="106"/>
      <c r="K27" s="105"/>
      <c r="L27" s="106"/>
      <c r="M27" s="106"/>
      <c r="N27" s="106"/>
    </row>
    <row r="28" ht="16.5" customHeight="1" spans="1:14">
      <c r="A28" s="102" t="s">
        <v>377</v>
      </c>
      <c r="B28" s="57" t="s">
        <v>206</v>
      </c>
      <c r="C28" s="106"/>
      <c r="D28" s="106"/>
      <c r="E28" s="106"/>
      <c r="F28" s="106"/>
      <c r="G28" s="105"/>
      <c r="H28" s="105"/>
      <c r="I28" s="106"/>
      <c r="J28" s="106"/>
      <c r="K28" s="105"/>
      <c r="L28" s="106"/>
      <c r="M28" s="106"/>
      <c r="N28" s="106"/>
    </row>
    <row r="29" ht="16.5" customHeight="1" spans="1:14">
      <c r="A29" s="102" t="s">
        <v>378</v>
      </c>
      <c r="B29" s="57" t="s">
        <v>143</v>
      </c>
      <c r="C29" s="106"/>
      <c r="D29" s="106"/>
      <c r="E29" s="106"/>
      <c r="F29" s="106"/>
      <c r="G29" s="105"/>
      <c r="H29" s="105"/>
      <c r="I29" s="106"/>
      <c r="J29" s="106"/>
      <c r="K29" s="105"/>
      <c r="L29" s="106"/>
      <c r="M29" s="106"/>
      <c r="N29" s="106"/>
    </row>
    <row r="30" ht="16.5" customHeight="1" spans="1:14">
      <c r="A30" s="102" t="s">
        <v>379</v>
      </c>
      <c r="B30" s="57" t="s">
        <v>143</v>
      </c>
      <c r="C30" s="106"/>
      <c r="D30" s="106"/>
      <c r="E30" s="106"/>
      <c r="F30" s="106"/>
      <c r="G30" s="105"/>
      <c r="H30" s="105"/>
      <c r="I30" s="106"/>
      <c r="J30" s="106"/>
      <c r="K30" s="105"/>
      <c r="L30" s="106"/>
      <c r="M30" s="106"/>
      <c r="N30" s="106"/>
    </row>
    <row r="31" ht="16.5" customHeight="1" spans="1:14">
      <c r="A31" s="102" t="s">
        <v>373</v>
      </c>
      <c r="B31" s="57" t="s">
        <v>143</v>
      </c>
      <c r="C31" s="104">
        <v>0</v>
      </c>
      <c r="D31" s="104">
        <v>0</v>
      </c>
      <c r="E31" s="104">
        <v>0</v>
      </c>
      <c r="F31" s="59">
        <v>0</v>
      </c>
      <c r="G31" s="105"/>
      <c r="H31" s="59">
        <v>0</v>
      </c>
      <c r="I31" s="106"/>
      <c r="J31" s="106"/>
      <c r="K31" s="105"/>
      <c r="L31" s="58">
        <v>0</v>
      </c>
      <c r="M31" s="64">
        <v>0</v>
      </c>
      <c r="N31" s="59">
        <v>0</v>
      </c>
    </row>
    <row r="32" ht="16.5" customHeight="1" spans="1:14">
      <c r="A32" s="102" t="s">
        <v>380</v>
      </c>
      <c r="B32" s="57" t="s">
        <v>130</v>
      </c>
      <c r="C32" s="106"/>
      <c r="D32" s="106"/>
      <c r="E32" s="106"/>
      <c r="F32" s="106"/>
      <c r="G32" s="105"/>
      <c r="H32" s="105"/>
      <c r="I32" s="106"/>
      <c r="J32" s="106"/>
      <c r="K32" s="105"/>
      <c r="L32" s="106"/>
      <c r="M32" s="106"/>
      <c r="N32" s="106"/>
    </row>
    <row r="33" ht="16.5" customHeight="1" spans="1:14">
      <c r="A33" s="100" t="s">
        <v>381</v>
      </c>
      <c r="B33" s="57" t="s">
        <v>65</v>
      </c>
      <c r="C33" s="106"/>
      <c r="D33" s="106"/>
      <c r="E33" s="106"/>
      <c r="F33" s="106"/>
      <c r="G33" s="105"/>
      <c r="H33" s="105"/>
      <c r="I33" s="106"/>
      <c r="J33" s="106"/>
      <c r="K33" s="105"/>
      <c r="L33" s="106"/>
      <c r="M33" s="106"/>
      <c r="N33" s="106"/>
    </row>
    <row r="34" ht="16.5" customHeight="1" spans="1:14">
      <c r="A34" s="102" t="s">
        <v>377</v>
      </c>
      <c r="B34" s="57" t="s">
        <v>206</v>
      </c>
      <c r="C34" s="106"/>
      <c r="D34" s="106"/>
      <c r="E34" s="106"/>
      <c r="F34" s="106"/>
      <c r="G34" s="105"/>
      <c r="H34" s="105"/>
      <c r="I34" s="106"/>
      <c r="J34" s="106"/>
      <c r="K34" s="105"/>
      <c r="L34" s="106"/>
      <c r="M34" s="106"/>
      <c r="N34" s="106"/>
    </row>
    <row r="35" ht="16.5" customHeight="1" spans="1:14">
      <c r="A35" s="102" t="s">
        <v>378</v>
      </c>
      <c r="B35" s="57" t="s">
        <v>143</v>
      </c>
      <c r="C35" s="106"/>
      <c r="D35" s="106"/>
      <c r="E35" s="106"/>
      <c r="F35" s="106"/>
      <c r="G35" s="105"/>
      <c r="H35" s="105"/>
      <c r="I35" s="106"/>
      <c r="J35" s="106"/>
      <c r="K35" s="105"/>
      <c r="L35" s="106"/>
      <c r="M35" s="106"/>
      <c r="N35" s="106"/>
    </row>
    <row r="36" ht="16.5" customHeight="1" spans="1:14">
      <c r="A36" s="102" t="s">
        <v>382</v>
      </c>
      <c r="B36" s="57" t="s">
        <v>143</v>
      </c>
      <c r="C36" s="106"/>
      <c r="D36" s="106"/>
      <c r="E36" s="106"/>
      <c r="F36" s="106"/>
      <c r="G36" s="105"/>
      <c r="H36" s="105"/>
      <c r="I36" s="106"/>
      <c r="J36" s="106"/>
      <c r="K36" s="105"/>
      <c r="L36" s="106"/>
      <c r="M36" s="106"/>
      <c r="N36" s="106"/>
    </row>
    <row r="37" ht="16.5" customHeight="1" spans="1:14">
      <c r="A37" s="102" t="s">
        <v>373</v>
      </c>
      <c r="B37" s="57" t="s">
        <v>143</v>
      </c>
      <c r="C37" s="104">
        <v>0</v>
      </c>
      <c r="D37" s="104">
        <v>0</v>
      </c>
      <c r="E37" s="104">
        <v>0</v>
      </c>
      <c r="F37" s="59">
        <v>0</v>
      </c>
      <c r="G37" s="105"/>
      <c r="H37" s="59">
        <v>0</v>
      </c>
      <c r="I37" s="106"/>
      <c r="J37" s="106"/>
      <c r="K37" s="105"/>
      <c r="L37" s="58">
        <v>0</v>
      </c>
      <c r="M37" s="64">
        <v>0</v>
      </c>
      <c r="N37" s="59">
        <v>0</v>
      </c>
    </row>
    <row r="38" ht="16.5" customHeight="1" spans="1:14">
      <c r="A38" s="102" t="s">
        <v>383</v>
      </c>
      <c r="B38" s="57" t="s">
        <v>130</v>
      </c>
      <c r="C38" s="106"/>
      <c r="D38" s="106"/>
      <c r="E38" s="106"/>
      <c r="F38" s="106"/>
      <c r="G38" s="105"/>
      <c r="H38" s="105"/>
      <c r="I38" s="106"/>
      <c r="J38" s="106"/>
      <c r="K38" s="105"/>
      <c r="L38" s="106"/>
      <c r="M38" s="106"/>
      <c r="N38" s="106"/>
    </row>
    <row r="39" ht="16.5" customHeight="1" spans="1:14">
      <c r="A39" s="100" t="s">
        <v>384</v>
      </c>
      <c r="B39" s="57" t="s">
        <v>65</v>
      </c>
      <c r="C39" s="106"/>
      <c r="D39" s="106"/>
      <c r="E39" s="106"/>
      <c r="F39" s="106"/>
      <c r="G39" s="105"/>
      <c r="H39" s="105"/>
      <c r="I39" s="106"/>
      <c r="J39" s="106"/>
      <c r="K39" s="105"/>
      <c r="L39" s="106"/>
      <c r="M39" s="106"/>
      <c r="N39" s="106"/>
    </row>
    <row r="40" ht="16.5" customHeight="1" spans="1:14">
      <c r="A40" s="102" t="s">
        <v>377</v>
      </c>
      <c r="B40" s="57" t="s">
        <v>206</v>
      </c>
      <c r="C40" s="106"/>
      <c r="D40" s="106"/>
      <c r="E40" s="106"/>
      <c r="F40" s="106"/>
      <c r="G40" s="105"/>
      <c r="H40" s="105"/>
      <c r="I40" s="106"/>
      <c r="J40" s="106"/>
      <c r="K40" s="105"/>
      <c r="L40" s="106"/>
      <c r="M40" s="106"/>
      <c r="N40" s="106"/>
    </row>
    <row r="41" ht="16.5" customHeight="1" spans="1:14">
      <c r="A41" s="102" t="s">
        <v>378</v>
      </c>
      <c r="B41" s="57" t="s">
        <v>143</v>
      </c>
      <c r="C41" s="106"/>
      <c r="D41" s="106"/>
      <c r="E41" s="106"/>
      <c r="F41" s="106"/>
      <c r="G41" s="105"/>
      <c r="H41" s="105"/>
      <c r="I41" s="106"/>
      <c r="J41" s="106"/>
      <c r="K41" s="105"/>
      <c r="L41" s="106"/>
      <c r="M41" s="106"/>
      <c r="N41" s="106"/>
    </row>
    <row r="42" ht="16.5" customHeight="1" spans="1:14">
      <c r="A42" s="102" t="s">
        <v>385</v>
      </c>
      <c r="B42" s="57" t="s">
        <v>143</v>
      </c>
      <c r="C42" s="106"/>
      <c r="D42" s="106"/>
      <c r="E42" s="106"/>
      <c r="F42" s="106"/>
      <c r="G42" s="105"/>
      <c r="H42" s="105"/>
      <c r="I42" s="106"/>
      <c r="J42" s="106"/>
      <c r="K42" s="105"/>
      <c r="L42" s="106"/>
      <c r="M42" s="106"/>
      <c r="N42" s="106"/>
    </row>
    <row r="43" ht="16.5" customHeight="1" spans="1:14">
      <c r="A43" s="102" t="s">
        <v>373</v>
      </c>
      <c r="B43" s="57" t="s">
        <v>143</v>
      </c>
      <c r="C43" s="104">
        <v>0</v>
      </c>
      <c r="D43" s="104">
        <v>0</v>
      </c>
      <c r="E43" s="104">
        <v>0</v>
      </c>
      <c r="F43" s="59">
        <v>0</v>
      </c>
      <c r="G43" s="105"/>
      <c r="H43" s="59">
        <v>0</v>
      </c>
      <c r="I43" s="106"/>
      <c r="J43" s="106"/>
      <c r="K43" s="105"/>
      <c r="L43" s="58">
        <v>0</v>
      </c>
      <c r="M43" s="64">
        <v>0</v>
      </c>
      <c r="N43" s="59">
        <v>0</v>
      </c>
    </row>
    <row r="44" ht="16.5" customHeight="1" spans="1:14">
      <c r="A44" s="102" t="s">
        <v>386</v>
      </c>
      <c r="B44" s="57" t="s">
        <v>130</v>
      </c>
      <c r="C44" s="106"/>
      <c r="D44" s="106"/>
      <c r="E44" s="106"/>
      <c r="F44" s="106"/>
      <c r="G44" s="105"/>
      <c r="H44" s="105"/>
      <c r="I44" s="106"/>
      <c r="J44" s="106"/>
      <c r="K44" s="105"/>
      <c r="L44" s="106"/>
      <c r="M44" s="106"/>
      <c r="N44" s="106"/>
    </row>
    <row r="45" ht="16.5" customHeight="1" spans="1:14">
      <c r="A45" s="100" t="s">
        <v>387</v>
      </c>
      <c r="B45" s="57" t="s">
        <v>65</v>
      </c>
      <c r="C45" s="106"/>
      <c r="D45" s="106"/>
      <c r="E45" s="106"/>
      <c r="F45" s="106"/>
      <c r="G45" s="105"/>
      <c r="H45" s="105"/>
      <c r="I45" s="106"/>
      <c r="J45" s="106"/>
      <c r="K45" s="105"/>
      <c r="L45" s="106"/>
      <c r="M45" s="106"/>
      <c r="N45" s="106"/>
    </row>
    <row r="46" ht="16.5" customHeight="1" spans="1:14">
      <c r="A46" s="102" t="s">
        <v>377</v>
      </c>
      <c r="B46" s="57" t="s">
        <v>206</v>
      </c>
      <c r="C46" s="106"/>
      <c r="D46" s="106"/>
      <c r="E46" s="106"/>
      <c r="F46" s="106"/>
      <c r="G46" s="105"/>
      <c r="H46" s="105"/>
      <c r="I46" s="106"/>
      <c r="J46" s="106"/>
      <c r="K46" s="105"/>
      <c r="L46" s="106"/>
      <c r="M46" s="106"/>
      <c r="N46" s="106"/>
    </row>
    <row r="47" ht="16.5" customHeight="1" spans="1:14">
      <c r="A47" s="102" t="s">
        <v>378</v>
      </c>
      <c r="B47" s="57" t="s">
        <v>143</v>
      </c>
      <c r="C47" s="106"/>
      <c r="D47" s="106"/>
      <c r="E47" s="106"/>
      <c r="F47" s="106"/>
      <c r="G47" s="105"/>
      <c r="H47" s="105"/>
      <c r="I47" s="106"/>
      <c r="J47" s="106"/>
      <c r="K47" s="105"/>
      <c r="L47" s="106"/>
      <c r="M47" s="106"/>
      <c r="N47" s="106"/>
    </row>
    <row r="48" ht="16.5" customHeight="1" spans="1:14">
      <c r="A48" s="102" t="s">
        <v>388</v>
      </c>
      <c r="B48" s="57" t="s">
        <v>143</v>
      </c>
      <c r="C48" s="106"/>
      <c r="D48" s="106"/>
      <c r="E48" s="106"/>
      <c r="F48" s="106"/>
      <c r="G48" s="105"/>
      <c r="H48" s="105"/>
      <c r="I48" s="106"/>
      <c r="J48" s="106"/>
      <c r="K48" s="105"/>
      <c r="L48" s="106"/>
      <c r="M48" s="106"/>
      <c r="N48" s="106"/>
    </row>
    <row r="49" ht="16.5" customHeight="1" spans="1:14">
      <c r="A49" s="102" t="s">
        <v>373</v>
      </c>
      <c r="B49" s="57" t="s">
        <v>143</v>
      </c>
      <c r="C49" s="104">
        <v>0</v>
      </c>
      <c r="D49" s="104">
        <v>0</v>
      </c>
      <c r="E49" s="104">
        <v>0</v>
      </c>
      <c r="F49" s="59">
        <v>0</v>
      </c>
      <c r="G49" s="105"/>
      <c r="H49" s="59">
        <v>0</v>
      </c>
      <c r="I49" s="106"/>
      <c r="J49" s="106"/>
      <c r="K49" s="105"/>
      <c r="L49" s="58">
        <v>0</v>
      </c>
      <c r="M49" s="64">
        <v>0</v>
      </c>
      <c r="N49" s="59">
        <v>0</v>
      </c>
    </row>
    <row r="50" ht="16.5" customHeight="1" spans="1:14">
      <c r="A50" s="102" t="s">
        <v>389</v>
      </c>
      <c r="B50" s="57" t="s">
        <v>130</v>
      </c>
      <c r="C50" s="106"/>
      <c r="D50" s="106"/>
      <c r="E50" s="106"/>
      <c r="F50" s="106"/>
      <c r="G50" s="105"/>
      <c r="H50" s="105"/>
      <c r="I50" s="106"/>
      <c r="J50" s="106"/>
      <c r="K50" s="105"/>
      <c r="L50" s="106"/>
      <c r="M50" s="106"/>
      <c r="N50" s="106"/>
    </row>
    <row r="51" ht="16.5" customHeight="1" spans="1:14">
      <c r="A51" s="100" t="s">
        <v>390</v>
      </c>
      <c r="B51" s="57" t="s">
        <v>143</v>
      </c>
      <c r="C51" s="58">
        <v>0</v>
      </c>
      <c r="D51" s="58">
        <v>0</v>
      </c>
      <c r="E51" s="58">
        <v>0</v>
      </c>
      <c r="F51" s="59">
        <v>0</v>
      </c>
      <c r="G51" s="105"/>
      <c r="H51" s="59">
        <v>0</v>
      </c>
      <c r="I51" s="106"/>
      <c r="J51" s="106"/>
      <c r="K51" s="105"/>
      <c r="L51" s="58">
        <v>0</v>
      </c>
      <c r="M51" s="64">
        <v>0</v>
      </c>
      <c r="N51" s="59">
        <v>0</v>
      </c>
    </row>
    <row r="52" ht="16.5" customHeight="1" spans="1:14">
      <c r="A52" s="100" t="s">
        <v>391</v>
      </c>
      <c r="B52" s="57" t="s">
        <v>143</v>
      </c>
      <c r="C52" s="64">
        <v>434689891.81</v>
      </c>
      <c r="D52" s="64">
        <v>397187759.57</v>
      </c>
      <c r="E52" s="64">
        <v>465936899.58</v>
      </c>
      <c r="F52" s="59">
        <v>0.1730897752</v>
      </c>
      <c r="G52" s="105"/>
      <c r="H52" s="59">
        <v>0.0234088967</v>
      </c>
      <c r="I52" s="106"/>
      <c r="J52" s="106"/>
      <c r="K52" s="105"/>
      <c r="L52" s="64">
        <v>474040919.23</v>
      </c>
      <c r="M52" s="64">
        <v>8104019.65</v>
      </c>
      <c r="N52" s="59">
        <v>0.0173929553</v>
      </c>
    </row>
    <row r="53" ht="16.5" customHeight="1" spans="1:14">
      <c r="A53" s="100" t="s">
        <v>392</v>
      </c>
      <c r="B53" s="57" t="s">
        <v>143</v>
      </c>
      <c r="C53" s="64">
        <v>31285600</v>
      </c>
      <c r="D53" s="64">
        <v>47877036</v>
      </c>
      <c r="E53" s="64">
        <v>52540344</v>
      </c>
      <c r="F53" s="59">
        <v>0.097401769</v>
      </c>
      <c r="G53" s="105"/>
      <c r="H53" s="59">
        <v>0.1886376285</v>
      </c>
      <c r="I53" s="106"/>
      <c r="J53" s="106"/>
      <c r="K53" s="105"/>
      <c r="L53" s="64">
        <v>57505400</v>
      </c>
      <c r="M53" s="64">
        <v>4965056</v>
      </c>
      <c r="N53" s="59">
        <v>0.0944998761</v>
      </c>
    </row>
    <row r="54" ht="16.5" customHeight="1" spans="1:14">
      <c r="A54" s="102" t="s">
        <v>393</v>
      </c>
      <c r="B54" s="57" t="s">
        <v>121</v>
      </c>
      <c r="C54" s="58">
        <v>625712</v>
      </c>
      <c r="D54" s="58">
        <v>629961</v>
      </c>
      <c r="E54" s="58">
        <v>603912</v>
      </c>
      <c r="F54" s="59">
        <v>-0.0413501788</v>
      </c>
      <c r="G54" s="103">
        <v>0</v>
      </c>
      <c r="H54" s="59">
        <v>-0.0117509813</v>
      </c>
      <c r="I54" s="59">
        <v>1</v>
      </c>
      <c r="J54" s="59">
        <v>-0.0117509813</v>
      </c>
      <c r="K54" s="103">
        <v>-0.0477851</v>
      </c>
      <c r="L54" s="63">
        <v>575054</v>
      </c>
      <c r="M54" s="63">
        <v>-28858</v>
      </c>
      <c r="N54" s="59">
        <v>-0.0477851078</v>
      </c>
    </row>
    <row r="55" ht="16.5" customHeight="1" spans="1:14">
      <c r="A55" s="102" t="s">
        <v>394</v>
      </c>
      <c r="B55" s="57" t="s">
        <v>143</v>
      </c>
      <c r="C55" s="58">
        <v>50</v>
      </c>
      <c r="D55" s="58">
        <v>76</v>
      </c>
      <c r="E55" s="58">
        <v>87</v>
      </c>
      <c r="F55" s="59">
        <v>0.1447368421</v>
      </c>
      <c r="G55" s="105"/>
      <c r="H55" s="59">
        <v>0.2027713724</v>
      </c>
      <c r="I55" s="106"/>
      <c r="J55" s="106"/>
      <c r="K55" s="105"/>
      <c r="L55" s="58">
        <v>100</v>
      </c>
      <c r="M55" s="108">
        <v>13</v>
      </c>
      <c r="N55" s="59">
        <v>0.1494252874</v>
      </c>
    </row>
    <row r="56" spans="1:14">
      <c r="A56" s="100" t="s">
        <v>395</v>
      </c>
      <c r="B56" s="57" t="s">
        <v>143</v>
      </c>
      <c r="C56" s="58">
        <v>0</v>
      </c>
      <c r="D56" s="58">
        <v>0</v>
      </c>
      <c r="E56" s="58">
        <v>0</v>
      </c>
      <c r="F56" s="59">
        <v>0</v>
      </c>
      <c r="G56" s="105"/>
      <c r="H56" s="59">
        <v>0</v>
      </c>
      <c r="I56" s="106"/>
      <c r="J56" s="106"/>
      <c r="K56" s="105"/>
      <c r="L56" s="58">
        <v>0</v>
      </c>
      <c r="M56" s="64">
        <v>0</v>
      </c>
      <c r="N56" s="59">
        <v>0</v>
      </c>
    </row>
  </sheetData>
  <mergeCells count="13">
    <mergeCell ref="A1:N1"/>
    <mergeCell ref="M2:N2"/>
    <mergeCell ref="B3:D3"/>
    <mergeCell ref="F3:G3"/>
    <mergeCell ref="F4:G4"/>
    <mergeCell ref="H4:I4"/>
    <mergeCell ref="J4:K4"/>
    <mergeCell ref="L4:N4"/>
    <mergeCell ref="A4:A5"/>
    <mergeCell ref="B4:B5"/>
    <mergeCell ref="C4:C5"/>
    <mergeCell ref="D4:D5"/>
    <mergeCell ref="E4:E5"/>
  </mergeCells>
  <pageMargins left="1.18110236220472" right="1.18110236220472" top="1.18110236220472" bottom="1.18110236220472" header="0.51181" footer="0.51181"/>
  <pageSetup paperSize="9" scale="30" orientation="portrait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showGridLines="0" zoomScalePageLayoutView="60" workbookViewId="0">
      <selection activeCell="A1" sqref="A1:H1"/>
    </sheetView>
  </sheetViews>
  <sheetFormatPr defaultColWidth="8" defaultRowHeight="14.25" outlineLevelRow="5" outlineLevelCol="7"/>
  <cols>
    <col min="1" max="1" width="25.3833333333333" style="1"/>
    <col min="2" max="2" width="16.0666666666667" style="1"/>
    <col min="3" max="8" width="20.075" style="1"/>
  </cols>
  <sheetData>
    <row r="1" ht="44.25" customHeight="1" spans="1:8">
      <c r="A1" s="68" t="s">
        <v>396</v>
      </c>
      <c r="B1" s="85"/>
      <c r="C1" s="85"/>
      <c r="D1" s="85"/>
      <c r="E1" s="85"/>
      <c r="F1" s="85"/>
      <c r="G1" s="85"/>
      <c r="H1" s="68"/>
    </row>
    <row r="2" ht="17.25" customHeight="1" spans="1:8">
      <c r="A2" s="85"/>
      <c r="B2" s="85"/>
      <c r="C2" s="85"/>
      <c r="D2" s="85"/>
      <c r="E2" s="85"/>
      <c r="F2" s="85"/>
      <c r="G2" s="85"/>
      <c r="H2" s="86" t="s">
        <v>42</v>
      </c>
    </row>
    <row r="3" ht="17.25" customHeight="1" spans="1:8">
      <c r="A3" s="87" t="s">
        <v>1</v>
      </c>
      <c r="B3" s="88"/>
      <c r="C3" s="88"/>
      <c r="D3" s="88"/>
      <c r="E3" s="88"/>
      <c r="F3" s="88"/>
      <c r="G3" s="88"/>
      <c r="H3" s="89" t="s">
        <v>74</v>
      </c>
    </row>
    <row r="4" ht="21" customHeight="1" spans="1:8">
      <c r="A4" s="90" t="s">
        <v>110</v>
      </c>
      <c r="B4" s="90" t="s">
        <v>257</v>
      </c>
      <c r="C4" s="90" t="s">
        <v>258</v>
      </c>
      <c r="D4" s="91"/>
      <c r="E4" s="91"/>
      <c r="F4" s="91" t="s">
        <v>259</v>
      </c>
      <c r="G4" s="90" t="s">
        <v>260</v>
      </c>
      <c r="H4" s="90" t="s">
        <v>261</v>
      </c>
    </row>
    <row r="5" ht="21" customHeight="1" spans="1:8">
      <c r="A5" s="90"/>
      <c r="B5" s="90"/>
      <c r="C5" s="90"/>
      <c r="D5" s="91" t="s">
        <v>397</v>
      </c>
      <c r="E5" s="91" t="s">
        <v>263</v>
      </c>
      <c r="F5" s="92"/>
      <c r="G5" s="91"/>
      <c r="H5" s="90"/>
    </row>
    <row r="6" ht="21" customHeight="1" spans="1:8">
      <c r="A6" s="90" t="s">
        <v>56</v>
      </c>
      <c r="B6" s="93">
        <v>0</v>
      </c>
      <c r="C6" s="93">
        <v>350782940</v>
      </c>
      <c r="D6" s="94">
        <v>280626352</v>
      </c>
      <c r="E6" s="95">
        <f>C6-D6</f>
        <v>70156588</v>
      </c>
      <c r="F6" s="93">
        <v>0</v>
      </c>
      <c r="G6" s="95">
        <f>B6-C6-F6</f>
        <v>-350782940</v>
      </c>
      <c r="H6" s="96"/>
    </row>
  </sheetData>
  <mergeCells count="7">
    <mergeCell ref="A1:H1"/>
    <mergeCell ref="C4:E4"/>
    <mergeCell ref="A4:A5"/>
    <mergeCell ref="B4:B5"/>
    <mergeCell ref="F4:F5"/>
    <mergeCell ref="G4:G5"/>
    <mergeCell ref="H4:H5"/>
  </mergeCells>
  <pageMargins left="1.18110236220472" right="1.18110236220472" top="1.18110236220472" bottom="1.18110236220472" header="0.51181" footer="0.51181"/>
  <pageSetup paperSize="9" scale="50" orientation="portrait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zoomScalePageLayoutView="60" workbookViewId="0">
      <selection activeCell="A1" sqref="A1:H1"/>
    </sheetView>
  </sheetViews>
  <sheetFormatPr defaultColWidth="8" defaultRowHeight="14.25"/>
  <cols>
    <col min="1" max="1" width="15.775" style="1"/>
    <col min="2" max="3" width="11.4666666666667" style="1"/>
    <col min="4" max="4" width="42.3083333333333" style="1"/>
    <col min="5" max="5" width="4.44166666666667" style="1"/>
    <col min="6" max="6" width="3.725" style="1"/>
    <col min="7" max="7" width="2.15" style="1"/>
    <col min="8" max="8" width="23.8" style="1"/>
    <col min="9" max="9" width="10.325" style="1"/>
  </cols>
  <sheetData>
    <row r="1" ht="42.75" customHeight="1" spans="1:9">
      <c r="A1" s="289" t="s">
        <v>8</v>
      </c>
      <c r="B1" s="289"/>
      <c r="C1" s="289"/>
      <c r="D1" s="289"/>
      <c r="E1" s="289"/>
      <c r="F1" s="289"/>
      <c r="G1" s="289"/>
      <c r="H1" s="289"/>
      <c r="I1" s="289"/>
    </row>
    <row r="2" ht="15" customHeight="1" spans="1:9">
      <c r="A2" s="290"/>
      <c r="B2" s="290"/>
      <c r="C2" s="290"/>
      <c r="D2" s="290"/>
      <c r="E2" s="290"/>
      <c r="F2" s="290"/>
      <c r="G2" s="290"/>
      <c r="H2" s="290"/>
      <c r="I2" s="290"/>
    </row>
    <row r="3" ht="15" customHeight="1" spans="1:9">
      <c r="A3" s="290" t="s">
        <v>9</v>
      </c>
      <c r="B3" s="290"/>
      <c r="C3" s="290"/>
      <c r="D3" s="290"/>
      <c r="E3" s="290"/>
      <c r="F3" s="290"/>
      <c r="G3" s="290"/>
      <c r="H3" s="290" t="s">
        <v>10</v>
      </c>
      <c r="I3" s="290"/>
    </row>
    <row r="4" ht="15" customHeight="1" spans="1:9">
      <c r="A4" s="290" t="s">
        <v>11</v>
      </c>
      <c r="B4" s="290"/>
      <c r="C4" s="290"/>
      <c r="D4" s="290"/>
      <c r="E4" s="290"/>
      <c r="F4" s="290"/>
      <c r="G4" s="290"/>
      <c r="H4" s="290" t="s">
        <v>12</v>
      </c>
      <c r="I4" s="290"/>
    </row>
    <row r="5" ht="15" customHeight="1" spans="1:9">
      <c r="A5" s="290" t="s">
        <v>13</v>
      </c>
      <c r="B5" s="290"/>
      <c r="C5" s="290"/>
      <c r="D5" s="290"/>
      <c r="E5" s="290"/>
      <c r="F5" s="290"/>
      <c r="G5" s="290"/>
      <c r="H5" s="290" t="s">
        <v>14</v>
      </c>
      <c r="I5" s="290"/>
    </row>
    <row r="6" ht="15" customHeight="1" spans="1:9">
      <c r="A6" s="290" t="s">
        <v>15</v>
      </c>
      <c r="B6" s="290"/>
      <c r="C6" s="290"/>
      <c r="D6" s="290"/>
      <c r="E6" s="290"/>
      <c r="F6" s="290"/>
      <c r="G6" s="290"/>
      <c r="H6" s="290" t="s">
        <v>16</v>
      </c>
      <c r="I6" s="290"/>
    </row>
    <row r="7" ht="15" customHeight="1" spans="1:9">
      <c r="A7" s="290" t="s">
        <v>17</v>
      </c>
      <c r="B7" s="290"/>
      <c r="C7" s="290"/>
      <c r="D7" s="290"/>
      <c r="E7" s="290"/>
      <c r="F7" s="290"/>
      <c r="G7" s="290"/>
      <c r="H7" s="290" t="s">
        <v>18</v>
      </c>
      <c r="I7" s="290"/>
    </row>
    <row r="8" ht="15" customHeight="1" spans="1:9">
      <c r="A8" s="290" t="s">
        <v>19</v>
      </c>
      <c r="B8" s="290"/>
      <c r="C8" s="290"/>
      <c r="D8" s="290"/>
      <c r="E8" s="290"/>
      <c r="F8" s="290"/>
      <c r="G8" s="290"/>
      <c r="H8" s="290" t="s">
        <v>20</v>
      </c>
      <c r="I8" s="290"/>
    </row>
    <row r="9" ht="15" customHeight="1" spans="1:9">
      <c r="A9" s="290" t="s">
        <v>21</v>
      </c>
      <c r="B9" s="290"/>
      <c r="C9" s="290"/>
      <c r="D9" s="290"/>
      <c r="E9" s="290"/>
      <c r="F9" s="290"/>
      <c r="G9" s="290"/>
      <c r="H9" s="290" t="s">
        <v>22</v>
      </c>
      <c r="I9" s="290"/>
    </row>
    <row r="10" ht="15" customHeight="1" spans="1:9">
      <c r="A10" s="290" t="s">
        <v>23</v>
      </c>
      <c r="B10" s="290"/>
      <c r="C10" s="290"/>
      <c r="D10" s="290"/>
      <c r="E10" s="290"/>
      <c r="F10" s="290"/>
      <c r="G10" s="290"/>
      <c r="H10" s="290" t="s">
        <v>24</v>
      </c>
      <c r="I10" s="290"/>
    </row>
    <row r="11" ht="15" customHeight="1" spans="1:9">
      <c r="A11" s="290" t="s">
        <v>25</v>
      </c>
      <c r="B11" s="290"/>
      <c r="C11" s="290"/>
      <c r="D11" s="290"/>
      <c r="E11" s="290"/>
      <c r="F11" s="290"/>
      <c r="G11" s="290"/>
      <c r="H11" s="290" t="s">
        <v>26</v>
      </c>
      <c r="I11" s="290"/>
    </row>
    <row r="12" ht="15" customHeight="1" spans="1:9">
      <c r="A12" s="290" t="s">
        <v>27</v>
      </c>
      <c r="B12" s="290"/>
      <c r="C12" s="290"/>
      <c r="D12" s="290"/>
      <c r="E12" s="290"/>
      <c r="F12" s="290"/>
      <c r="G12" s="290"/>
      <c r="H12" s="290" t="s">
        <v>28</v>
      </c>
      <c r="I12" s="290"/>
    </row>
    <row r="13" ht="15" customHeight="1" spans="1:9">
      <c r="A13" s="290" t="s">
        <v>29</v>
      </c>
      <c r="B13" s="290"/>
      <c r="C13" s="290"/>
      <c r="D13" s="290"/>
      <c r="E13" s="290"/>
      <c r="F13" s="290"/>
      <c r="G13" s="290"/>
      <c r="H13" s="290" t="s">
        <v>30</v>
      </c>
      <c r="I13" s="290"/>
    </row>
    <row r="14" ht="15" customHeight="1" spans="1:9">
      <c r="A14" s="290" t="s">
        <v>31</v>
      </c>
      <c r="B14" s="290"/>
      <c r="C14" s="290"/>
      <c r="D14" s="290"/>
      <c r="E14" s="290"/>
      <c r="F14" s="290"/>
      <c r="G14" s="290"/>
      <c r="H14" s="290" t="s">
        <v>32</v>
      </c>
      <c r="I14" s="290"/>
    </row>
    <row r="15" ht="15" customHeight="1" spans="1:9">
      <c r="A15" s="290" t="s">
        <v>33</v>
      </c>
      <c r="B15" s="290"/>
      <c r="C15" s="290"/>
      <c r="D15" s="290"/>
      <c r="E15" s="290"/>
      <c r="F15" s="290"/>
      <c r="G15" s="290"/>
      <c r="H15" s="290" t="s">
        <v>34</v>
      </c>
      <c r="I15" s="290"/>
    </row>
    <row r="16" ht="15" customHeight="1" spans="1:9">
      <c r="A16" s="290" t="s">
        <v>35</v>
      </c>
      <c r="B16" s="290"/>
      <c r="C16" s="290"/>
      <c r="D16" s="290"/>
      <c r="E16" s="290"/>
      <c r="F16" s="290"/>
      <c r="G16" s="290"/>
      <c r="H16" s="290" t="s">
        <v>36</v>
      </c>
      <c r="I16" s="290"/>
    </row>
    <row r="17" ht="15" customHeight="1" spans="1:9">
      <c r="A17" s="290" t="s">
        <v>37</v>
      </c>
      <c r="B17" s="290"/>
      <c r="C17" s="290"/>
      <c r="D17" s="290"/>
      <c r="E17" s="290"/>
      <c r="F17" s="290"/>
      <c r="G17" s="290"/>
      <c r="H17" s="290" t="s">
        <v>38</v>
      </c>
      <c r="I17" s="290"/>
    </row>
    <row r="18" ht="15" customHeight="1" spans="1:9">
      <c r="A18" s="290" t="s">
        <v>39</v>
      </c>
      <c r="B18" s="290"/>
      <c r="C18" s="290"/>
      <c r="D18" s="290"/>
      <c r="E18" s="290"/>
      <c r="F18" s="290"/>
      <c r="G18" s="290"/>
      <c r="H18" s="290" t="s">
        <v>40</v>
      </c>
      <c r="I18" s="290"/>
    </row>
    <row r="19" ht="15" customHeight="1" spans="1:9">
      <c r="A19" s="290" t="s">
        <v>41</v>
      </c>
      <c r="B19" s="290"/>
      <c r="C19" s="290"/>
      <c r="D19" s="290"/>
      <c r="E19" s="290"/>
      <c r="F19" s="290"/>
      <c r="G19" s="290"/>
      <c r="H19" s="290" t="s">
        <v>42</v>
      </c>
      <c r="I19" s="290"/>
    </row>
    <row r="20" ht="15" customHeight="1" spans="1:9">
      <c r="A20" s="290" t="s">
        <v>43</v>
      </c>
      <c r="B20" s="290"/>
      <c r="C20" s="290"/>
      <c r="D20" s="290"/>
      <c r="E20" s="290"/>
      <c r="F20" s="290"/>
      <c r="G20" s="290"/>
      <c r="H20" s="290" t="s">
        <v>44</v>
      </c>
      <c r="I20" s="290"/>
    </row>
    <row r="21" ht="19.5" customHeight="1" spans="1:9">
      <c r="A21" s="290" t="s">
        <v>45</v>
      </c>
      <c r="B21" s="290"/>
      <c r="C21" s="290"/>
      <c r="D21" s="290"/>
      <c r="E21" s="290"/>
      <c r="F21" s="290"/>
      <c r="G21" s="290"/>
      <c r="H21" s="290" t="s">
        <v>46</v>
      </c>
      <c r="I21" s="290"/>
    </row>
    <row r="22" ht="15" customHeight="1" spans="1:9">
      <c r="A22" s="290" t="s">
        <v>47</v>
      </c>
      <c r="B22" s="290"/>
      <c r="C22" s="290"/>
      <c r="D22" s="290"/>
      <c r="E22" s="290"/>
      <c r="F22" s="290"/>
      <c r="G22" s="290"/>
      <c r="H22" s="290" t="s">
        <v>48</v>
      </c>
      <c r="I22" s="290"/>
    </row>
    <row r="23" ht="13.5" customHeight="1" spans="1:9">
      <c r="A23" s="290" t="s">
        <v>49</v>
      </c>
      <c r="B23" s="290"/>
      <c r="C23" s="290"/>
      <c r="D23" s="290"/>
      <c r="E23" s="290"/>
      <c r="F23" s="290"/>
      <c r="G23" s="290"/>
      <c r="H23" s="290" t="s">
        <v>50</v>
      </c>
      <c r="I23" s="291">
        <v>0</v>
      </c>
    </row>
    <row r="24" ht="13.5" customHeight="1" spans="1:9">
      <c r="A24" s="290"/>
      <c r="B24" s="290"/>
      <c r="C24" s="290"/>
      <c r="D24" s="290"/>
      <c r="E24" s="290"/>
      <c r="F24" s="290"/>
      <c r="G24" s="290"/>
      <c r="H24" s="290"/>
      <c r="I24" s="291"/>
    </row>
  </sheetData>
  <mergeCells count="22">
    <mergeCell ref="A1:H1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F23"/>
  </mergeCells>
  <printOptions horizontalCentered="1"/>
  <pageMargins left="1.18110236220472" right="1.18110236220472" top="1.18110236220472" bottom="1.18110236220472" header="0.51181" footer="0.51181"/>
  <pageSetup paperSize="9" scale="50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zoomScalePageLayoutView="60" workbookViewId="0">
      <pane topLeftCell="A4" activePane="bottomRight" state="frozen"/>
      <selection activeCell="A1" sqref="A1:G1"/>
    </sheetView>
  </sheetViews>
  <sheetFormatPr defaultColWidth="8" defaultRowHeight="14.25" outlineLevelRow="6" outlineLevelCol="6"/>
  <cols>
    <col min="1" max="1" width="25.525" style="1"/>
    <col min="2" max="3" width="22.8" style="1"/>
    <col min="4" max="4" width="19.3583333333333" style="1"/>
    <col min="5" max="5" width="22.8" style="1"/>
    <col min="6" max="6" width="20.075" style="1"/>
    <col min="7" max="7" width="22.8" style="1"/>
  </cols>
  <sheetData>
    <row r="1" ht="37.5" customHeight="1" spans="1:7">
      <c r="A1" s="68" t="s">
        <v>398</v>
      </c>
      <c r="B1" s="68"/>
      <c r="C1" s="68"/>
      <c r="D1" s="68"/>
      <c r="E1" s="68"/>
      <c r="F1" s="68"/>
      <c r="G1" s="68"/>
    </row>
    <row r="2" ht="19.5" customHeight="1" spans="1:7">
      <c r="A2" s="69"/>
      <c r="B2" s="69"/>
      <c r="C2" s="69"/>
      <c r="D2" s="69"/>
      <c r="E2" s="69"/>
      <c r="F2" s="69"/>
      <c r="G2" s="39" t="s">
        <v>44</v>
      </c>
    </row>
    <row r="3" ht="19.5" customHeight="1" spans="1:7">
      <c r="A3" s="24" t="s">
        <v>1</v>
      </c>
      <c r="B3" s="25" t="s">
        <v>52</v>
      </c>
      <c r="C3" s="70"/>
      <c r="D3" s="26" t="s">
        <v>53</v>
      </c>
      <c r="E3" s="24"/>
      <c r="F3" s="71" t="s">
        <v>265</v>
      </c>
      <c r="G3" s="71"/>
    </row>
    <row r="4" ht="41.25" customHeight="1" spans="1:7">
      <c r="A4" s="72" t="s">
        <v>266</v>
      </c>
      <c r="B4" s="72" t="s">
        <v>118</v>
      </c>
      <c r="C4" s="72" t="s">
        <v>267</v>
      </c>
      <c r="D4" s="72" t="s">
        <v>268</v>
      </c>
      <c r="E4" s="72" t="s">
        <v>269</v>
      </c>
      <c r="F4" s="72" t="s">
        <v>270</v>
      </c>
      <c r="G4" s="72" t="s">
        <v>271</v>
      </c>
    </row>
    <row r="5" ht="25.5" customHeight="1" spans="1:7">
      <c r="A5" s="73"/>
      <c r="B5" s="74"/>
      <c r="C5" s="74"/>
      <c r="D5" s="75">
        <f>IF(B5=0,0,ROUND(C5/B5,10))</f>
        <v>0</v>
      </c>
      <c r="E5" s="74"/>
      <c r="F5" s="75">
        <f>IF(B5=0,0,ROUND(E5/B5,10))</f>
        <v>0</v>
      </c>
      <c r="G5" s="76"/>
    </row>
    <row r="6" ht="21.75" customHeight="1" spans="1:7">
      <c r="A6" s="77"/>
      <c r="B6" s="78"/>
      <c r="C6" s="78"/>
      <c r="D6" s="79"/>
      <c r="E6" s="78"/>
      <c r="F6" s="79"/>
      <c r="G6" s="80"/>
    </row>
    <row r="7" ht="21.75" customHeight="1" spans="1:7">
      <c r="A7" s="81" t="s">
        <v>272</v>
      </c>
      <c r="B7" s="82"/>
      <c r="C7" s="82"/>
      <c r="D7" s="83"/>
      <c r="E7" s="82"/>
      <c r="F7" s="83"/>
      <c r="G7" s="84"/>
    </row>
  </sheetData>
  <mergeCells count="4">
    <mergeCell ref="A1:G1"/>
    <mergeCell ref="B3:C3"/>
    <mergeCell ref="F3:G3"/>
    <mergeCell ref="A7:G7"/>
  </mergeCells>
  <printOptions horizontalCentered="1"/>
  <pageMargins left="1.18110236220472" right="1.18110236220472" top="1.18110236220472" bottom="1.18110236220472" header="0.51181" footer="0.51181"/>
  <pageSetup paperSize="9" scale="90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zoomScalePageLayoutView="60" workbookViewId="0">
      <pane topLeftCell="C5" activePane="bottomRight" state="frozen"/>
      <selection activeCell="A1" sqref="A1:S1"/>
    </sheetView>
  </sheetViews>
  <sheetFormatPr defaultColWidth="8" defaultRowHeight="14.25"/>
  <cols>
    <col min="1" max="1" width="19.2166666666667" style="1"/>
    <col min="2" max="2" width="7.025" style="1"/>
    <col min="3" max="10" width="18.2083333333333" style="1"/>
    <col min="11" max="11" width="16.6333333333333" style="1"/>
    <col min="12" max="12" width="19.075" style="1"/>
    <col min="13" max="15" width="16.6333333333333" style="1"/>
    <col min="16" max="19" width="19.075" style="1"/>
  </cols>
  <sheetData>
    <row r="1" ht="50.25" customHeight="1" spans="1:19">
      <c r="A1" s="20" t="s">
        <v>399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66"/>
    </row>
    <row r="2" ht="16.5" customHeight="1" spans="1:19">
      <c r="A2" s="49" t="s">
        <v>1</v>
      </c>
      <c r="B2" s="50" t="s">
        <v>52</v>
      </c>
      <c r="C2" s="51"/>
      <c r="D2" s="51"/>
      <c r="E2" s="51"/>
      <c r="F2" s="51"/>
      <c r="G2" s="51"/>
      <c r="H2" s="51"/>
      <c r="I2" s="49"/>
      <c r="J2" s="51"/>
      <c r="K2" s="51"/>
      <c r="L2" s="51"/>
      <c r="M2" s="51"/>
      <c r="N2" s="51"/>
      <c r="O2" s="51"/>
      <c r="P2" s="51"/>
      <c r="Q2" s="51"/>
      <c r="R2" s="51"/>
      <c r="S2" s="67" t="s">
        <v>46</v>
      </c>
    </row>
    <row r="3" ht="16.5" customHeight="1" spans="1:19">
      <c r="A3" s="52" t="s">
        <v>148</v>
      </c>
      <c r="B3" s="52" t="s">
        <v>110</v>
      </c>
      <c r="C3" s="53" t="s">
        <v>132</v>
      </c>
      <c r="D3" s="54"/>
      <c r="E3" s="54"/>
      <c r="F3" s="53" t="s">
        <v>133</v>
      </c>
      <c r="G3" s="54"/>
      <c r="H3" s="54"/>
      <c r="I3" s="53" t="s">
        <v>134</v>
      </c>
      <c r="J3" s="54"/>
      <c r="K3" s="54"/>
      <c r="L3" s="53" t="s">
        <v>112</v>
      </c>
      <c r="M3" s="54"/>
      <c r="N3" s="54"/>
      <c r="O3" s="54"/>
      <c r="P3" s="54"/>
      <c r="Q3" s="54"/>
      <c r="R3" s="54"/>
      <c r="S3" s="54"/>
    </row>
    <row r="4" ht="33" customHeight="1" spans="1:19">
      <c r="A4" s="55"/>
      <c r="B4" s="55"/>
      <c r="C4" s="53" t="s">
        <v>135</v>
      </c>
      <c r="D4" s="53" t="s">
        <v>136</v>
      </c>
      <c r="E4" s="53" t="s">
        <v>137</v>
      </c>
      <c r="F4" s="53" t="s">
        <v>135</v>
      </c>
      <c r="G4" s="53" t="s">
        <v>136</v>
      </c>
      <c r="H4" s="53" t="s">
        <v>137</v>
      </c>
      <c r="I4" s="53" t="s">
        <v>135</v>
      </c>
      <c r="J4" s="53" t="s">
        <v>136</v>
      </c>
      <c r="K4" s="53" t="s">
        <v>137</v>
      </c>
      <c r="L4" s="53" t="s">
        <v>135</v>
      </c>
      <c r="M4" s="53" t="s">
        <v>138</v>
      </c>
      <c r="N4" s="53" t="s">
        <v>361</v>
      </c>
      <c r="O4" s="53" t="s">
        <v>362</v>
      </c>
      <c r="P4" s="53" t="s">
        <v>400</v>
      </c>
      <c r="Q4" s="53" t="s">
        <v>363</v>
      </c>
      <c r="R4" s="53" t="s">
        <v>118</v>
      </c>
      <c r="S4" s="53" t="s">
        <v>119</v>
      </c>
    </row>
    <row r="5" ht="16.5" customHeight="1" spans="1:19">
      <c r="A5" s="56" t="s">
        <v>401</v>
      </c>
      <c r="B5" s="57" t="s">
        <v>143</v>
      </c>
      <c r="C5" s="58">
        <v>666324.47</v>
      </c>
      <c r="D5" s="58">
        <v>888432.63</v>
      </c>
      <c r="E5" s="59">
        <f>IF(D5=0,0,ROUND(C5/D5,10))</f>
        <v>0.7499999972</v>
      </c>
      <c r="F5" s="58">
        <v>1274444.89</v>
      </c>
      <c r="G5" s="58">
        <v>1857253.69</v>
      </c>
      <c r="H5" s="59">
        <f>IF(G5=0,0,ROUND(F5/G5,10))</f>
        <v>0.6861986043</v>
      </c>
      <c r="I5" s="58">
        <v>1246458.65</v>
      </c>
      <c r="J5" s="58">
        <v>1775954.67</v>
      </c>
      <c r="K5" s="59">
        <f>IF(J5=0,0,ROUND(I5/J5,10))</f>
        <v>0.7018527393</v>
      </c>
      <c r="L5" s="58">
        <v>1137370.77</v>
      </c>
      <c r="M5" s="59">
        <f>ROUND((E5+H5+K5)/3,10)</f>
        <v>0.7126837803</v>
      </c>
      <c r="N5" s="58">
        <v>0</v>
      </c>
      <c r="O5" s="59">
        <f>M5+N5</f>
        <v>0.7126837803</v>
      </c>
      <c r="P5" s="64">
        <v>458527.44</v>
      </c>
      <c r="Q5" s="64">
        <f>L5+P5</f>
        <v>1595898.21</v>
      </c>
      <c r="R5" s="58">
        <v>1595898.21</v>
      </c>
      <c r="S5" s="64">
        <f>Q5-R5</f>
        <v>0</v>
      </c>
    </row>
    <row r="6" ht="16.5" customHeight="1" spans="1:19">
      <c r="A6" s="56" t="s">
        <v>402</v>
      </c>
      <c r="B6" s="57" t="s">
        <v>143</v>
      </c>
      <c r="C6" s="58">
        <v>0</v>
      </c>
      <c r="D6" s="58">
        <v>0</v>
      </c>
      <c r="E6" s="59">
        <f>IF(D6=0,0,ROUND(C6/D6,10))</f>
        <v>0</v>
      </c>
      <c r="F6" s="58">
        <v>0</v>
      </c>
      <c r="G6" s="58">
        <v>0</v>
      </c>
      <c r="H6" s="59">
        <f>IF(G6=0,0,ROUND(F6/G6,10))</f>
        <v>0</v>
      </c>
      <c r="I6" s="58">
        <v>0</v>
      </c>
      <c r="J6" s="58">
        <v>0</v>
      </c>
      <c r="K6" s="59">
        <f>IF(J6=0,0,ROUND(I6/J6,10))</f>
        <v>0</v>
      </c>
      <c r="L6" s="58">
        <v>0</v>
      </c>
      <c r="M6" s="59">
        <f>ROUND((E6+H6+K6)/3,10)</f>
        <v>0</v>
      </c>
      <c r="N6" s="58">
        <v>0</v>
      </c>
      <c r="O6" s="59">
        <f>M6+N6</f>
        <v>0</v>
      </c>
      <c r="P6" s="64">
        <v>0</v>
      </c>
      <c r="Q6" s="64">
        <f>L6+P6</f>
        <v>0</v>
      </c>
      <c r="R6" s="58">
        <v>0</v>
      </c>
      <c r="S6" s="64">
        <f>Q6-R6</f>
        <v>0</v>
      </c>
    </row>
    <row r="7" ht="16.5" customHeight="1" spans="1:19">
      <c r="A7" s="56" t="s">
        <v>403</v>
      </c>
      <c r="B7" s="57" t="s">
        <v>143</v>
      </c>
      <c r="C7" s="58">
        <v>1758242</v>
      </c>
      <c r="D7" s="58">
        <v>2360337.62</v>
      </c>
      <c r="E7" s="59">
        <f>IF(D7=0,0,ROUND(C7/D7,10))</f>
        <v>0.7449112301</v>
      </c>
      <c r="F7" s="58">
        <v>1767784.5</v>
      </c>
      <c r="G7" s="58">
        <v>2490267</v>
      </c>
      <c r="H7" s="59">
        <f>IF(G7=0,0,ROUND(F7/G7,10))</f>
        <v>0.7098774951</v>
      </c>
      <c r="I7" s="58">
        <v>2727423.57</v>
      </c>
      <c r="J7" s="58">
        <v>3495609.57</v>
      </c>
      <c r="K7" s="59">
        <f>IF(J7=0,0,ROUND(I7/J7,10))</f>
        <v>0.7802426202</v>
      </c>
      <c r="L7" s="58">
        <v>2484004.5</v>
      </c>
      <c r="M7" s="59">
        <f>ROUND((E7+H7+K7)/3,10)</f>
        <v>0.7450104485</v>
      </c>
      <c r="N7" s="58">
        <v>0</v>
      </c>
      <c r="O7" s="59">
        <f>M7+N7</f>
        <v>0.7450104485</v>
      </c>
      <c r="P7" s="64">
        <v>850182.97</v>
      </c>
      <c r="Q7" s="64">
        <f>L7+P7</f>
        <v>3334187.47</v>
      </c>
      <c r="R7" s="58">
        <v>3334187.47</v>
      </c>
      <c r="S7" s="64">
        <f>Q7-R7</f>
        <v>0</v>
      </c>
    </row>
    <row r="8" ht="16.5" customHeight="1" spans="1:19">
      <c r="A8" s="56" t="s">
        <v>404</v>
      </c>
      <c r="B8" s="57" t="s">
        <v>143</v>
      </c>
      <c r="C8" s="58">
        <v>89400</v>
      </c>
      <c r="D8" s="58">
        <v>115958.01</v>
      </c>
      <c r="E8" s="59">
        <f>IF(D8=0,0,ROUND(C8/D8,10))</f>
        <v>0.7709687326</v>
      </c>
      <c r="F8" s="58">
        <v>40800</v>
      </c>
      <c r="G8" s="58">
        <v>54400</v>
      </c>
      <c r="H8" s="59">
        <f>IF(G8=0,0,ROUND(F8/G8,10))</f>
        <v>0.75</v>
      </c>
      <c r="I8" s="58">
        <v>44800</v>
      </c>
      <c r="J8" s="58">
        <v>51520</v>
      </c>
      <c r="K8" s="59">
        <f>IF(J8=0,0,ROUND(I8/J8,10))</f>
        <v>0.8695652174</v>
      </c>
      <c r="L8" s="58">
        <v>59200</v>
      </c>
      <c r="M8" s="59">
        <f>ROUND((E8+H8+K8)/3,10)</f>
        <v>0.79684465</v>
      </c>
      <c r="N8" s="58">
        <v>0</v>
      </c>
      <c r="O8" s="59">
        <f>M8+N8</f>
        <v>0.79684465</v>
      </c>
      <c r="P8" s="64">
        <v>15093.03</v>
      </c>
      <c r="Q8" s="64">
        <f>L8+P8</f>
        <v>74293.03</v>
      </c>
      <c r="R8" s="58">
        <v>74293.03</v>
      </c>
      <c r="S8" s="64">
        <f>Q8-R8</f>
        <v>0</v>
      </c>
    </row>
    <row r="9" ht="16.5" customHeight="1" spans="1:19">
      <c r="A9" s="56" t="s">
        <v>405</v>
      </c>
      <c r="B9" s="57" t="s">
        <v>143</v>
      </c>
      <c r="C9" s="58">
        <v>0</v>
      </c>
      <c r="D9" s="58">
        <v>0</v>
      </c>
      <c r="E9" s="59">
        <f>IF(D9=0,0,ROUND(C9/D9,10))</f>
        <v>0</v>
      </c>
      <c r="F9" s="58">
        <v>0</v>
      </c>
      <c r="G9" s="58">
        <v>0</v>
      </c>
      <c r="H9" s="59">
        <f>IF(G9=0,0,ROUND(F9/G9,10))</f>
        <v>0</v>
      </c>
      <c r="I9" s="58">
        <v>0</v>
      </c>
      <c r="J9" s="58">
        <v>0</v>
      </c>
      <c r="K9" s="59">
        <f>IF(J9=0,0,ROUND(I9/J9,10))</f>
        <v>0</v>
      </c>
      <c r="L9" s="58">
        <v>0</v>
      </c>
      <c r="M9" s="59">
        <f>ROUND((E9+H9+K9)/3,10)</f>
        <v>0</v>
      </c>
      <c r="N9" s="58">
        <v>0</v>
      </c>
      <c r="O9" s="59">
        <f>M9+N9</f>
        <v>0</v>
      </c>
      <c r="P9" s="64">
        <v>0</v>
      </c>
      <c r="Q9" s="64">
        <f>L9+P9</f>
        <v>0</v>
      </c>
      <c r="R9" s="58">
        <v>0</v>
      </c>
      <c r="S9" s="64">
        <f>Q9-R9</f>
        <v>0</v>
      </c>
    </row>
    <row r="10" ht="16.5" customHeight="1" spans="1:19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ht="31.5" customHeight="1" spans="1:19">
      <c r="A11" s="20" t="s">
        <v>406</v>
      </c>
      <c r="B11" s="20"/>
      <c r="C11" s="20"/>
      <c r="D11" s="20"/>
      <c r="E11" s="20"/>
      <c r="F11" s="20"/>
      <c r="G11" s="20"/>
      <c r="H11" s="20"/>
      <c r="I11" s="2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ht="16.5" customHeight="1" spans="1:19">
      <c r="A12" s="51"/>
      <c r="B12" s="51"/>
      <c r="C12" s="51"/>
      <c r="D12" s="61"/>
      <c r="E12" s="49"/>
      <c r="F12" s="51"/>
      <c r="G12" s="51"/>
      <c r="H12" s="51"/>
      <c r="I12" s="51"/>
      <c r="J12" s="60"/>
      <c r="K12" s="60"/>
      <c r="L12" s="60"/>
      <c r="M12" s="60"/>
      <c r="N12" s="60"/>
      <c r="O12" s="60"/>
      <c r="P12" s="60"/>
      <c r="Q12" s="60"/>
      <c r="R12" s="60"/>
      <c r="S12" s="60"/>
    </row>
    <row r="13" ht="33" customHeight="1" spans="1:19">
      <c r="A13" s="62" t="s">
        <v>148</v>
      </c>
      <c r="B13" s="62" t="s">
        <v>110</v>
      </c>
      <c r="C13" s="62" t="s">
        <v>407</v>
      </c>
      <c r="D13" s="62" t="s">
        <v>408</v>
      </c>
      <c r="E13" s="62" t="s">
        <v>115</v>
      </c>
      <c r="F13" s="62" t="s">
        <v>409</v>
      </c>
      <c r="G13" s="62" t="s">
        <v>363</v>
      </c>
      <c r="H13" s="62" t="s">
        <v>118</v>
      </c>
      <c r="I13" s="62" t="s">
        <v>119</v>
      </c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ht="16.5" customHeight="1" spans="1:19">
      <c r="A14" s="56" t="s">
        <v>410</v>
      </c>
      <c r="B14" s="57" t="s">
        <v>121</v>
      </c>
      <c r="C14" s="58">
        <v>290</v>
      </c>
      <c r="D14" s="63">
        <f>ROUND(C14/3,0)</f>
        <v>97</v>
      </c>
      <c r="E14" s="58">
        <v>0</v>
      </c>
      <c r="F14" s="63">
        <f>D14+E14</f>
        <v>97</v>
      </c>
      <c r="G14" s="63">
        <f>C14+F14</f>
        <v>387</v>
      </c>
      <c r="H14" s="58">
        <v>387</v>
      </c>
      <c r="I14" s="63">
        <f>G14-H14</f>
        <v>0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</row>
    <row r="15" ht="16.5" customHeight="1" spans="1:19">
      <c r="A15" s="56" t="s">
        <v>411</v>
      </c>
      <c r="B15" s="57" t="s">
        <v>206</v>
      </c>
      <c r="C15" s="58">
        <v>0</v>
      </c>
      <c r="D15" s="63">
        <f>ROUND(C15/3,0)</f>
        <v>0</v>
      </c>
      <c r="E15" s="58">
        <v>0</v>
      </c>
      <c r="F15" s="63">
        <f>D15+E15</f>
        <v>0</v>
      </c>
      <c r="G15" s="63">
        <f>C15+F15</f>
        <v>0</v>
      </c>
      <c r="H15" s="58">
        <v>0</v>
      </c>
      <c r="I15" s="63">
        <f>G15-H15</f>
        <v>0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ht="16.5" customHeight="1" spans="1:19">
      <c r="A16" s="56" t="s">
        <v>412</v>
      </c>
      <c r="B16" s="57" t="s">
        <v>206</v>
      </c>
      <c r="C16" s="58">
        <v>78</v>
      </c>
      <c r="D16" s="63">
        <f>ROUND(C16/3,0)</f>
        <v>26</v>
      </c>
      <c r="E16" s="58">
        <v>0</v>
      </c>
      <c r="F16" s="63">
        <f>D16+E16</f>
        <v>26</v>
      </c>
      <c r="G16" s="63">
        <f>C16+F16</f>
        <v>104</v>
      </c>
      <c r="H16" s="58">
        <v>123</v>
      </c>
      <c r="I16" s="63">
        <f>G16-H16</f>
        <v>-19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ht="16.5" customHeight="1" spans="1:19">
      <c r="A17" s="56" t="s">
        <v>413</v>
      </c>
      <c r="B17" s="57" t="s">
        <v>206</v>
      </c>
      <c r="C17" s="58">
        <v>50</v>
      </c>
      <c r="D17" s="63">
        <f>ROUND(C17/3,0)</f>
        <v>17</v>
      </c>
      <c r="E17" s="58">
        <v>0</v>
      </c>
      <c r="F17" s="63">
        <f>D17+E17</f>
        <v>17</v>
      </c>
      <c r="G17" s="63">
        <f>C17+F17</f>
        <v>67</v>
      </c>
      <c r="H17" s="58">
        <v>67</v>
      </c>
      <c r="I17" s="63">
        <f>G17-H17</f>
        <v>0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ht="16.5" customHeight="1" spans="1:19">
      <c r="A18" s="56" t="s">
        <v>414</v>
      </c>
      <c r="B18" s="57" t="s">
        <v>206</v>
      </c>
      <c r="C18" s="58">
        <v>0</v>
      </c>
      <c r="D18" s="63">
        <f>ROUND(C18/3,0)</f>
        <v>0</v>
      </c>
      <c r="E18" s="58">
        <v>0</v>
      </c>
      <c r="F18" s="63">
        <f>D18+E18</f>
        <v>0</v>
      </c>
      <c r="G18" s="63">
        <f>C18+F18</f>
        <v>0</v>
      </c>
      <c r="H18" s="58">
        <v>0</v>
      </c>
      <c r="I18" s="63">
        <f>G18-H18</f>
        <v>0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</row>
  </sheetData>
  <mergeCells count="10">
    <mergeCell ref="A1:S1"/>
    <mergeCell ref="B2:E2"/>
    <mergeCell ref="C3:E3"/>
    <mergeCell ref="F3:H3"/>
    <mergeCell ref="I3:K3"/>
    <mergeCell ref="L3:S3"/>
    <mergeCell ref="A11:I11"/>
    <mergeCell ref="B12:D12"/>
    <mergeCell ref="A3:A4"/>
    <mergeCell ref="B3:B4"/>
  </mergeCells>
  <pageMargins left="1.18110236220472" right="1.18110236220472" top="1.18110236220472" bottom="1.18110236220472" header="0.51181" footer="0.51181"/>
  <pageSetup paperSize="9" scale="42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showGridLines="0" zoomScalePageLayoutView="60" workbookViewId="0">
      <pane topLeftCell="E6" activePane="bottomRight" state="frozen"/>
      <selection activeCell="A1" sqref="A1:P1"/>
    </sheetView>
  </sheetViews>
  <sheetFormatPr defaultColWidth="8" defaultRowHeight="14.25"/>
  <cols>
    <col min="1" max="1" width="3.3" style="1"/>
    <col min="2" max="2" width="4.15833333333333" style="1"/>
    <col min="3" max="3" width="24.2333333333333" style="1"/>
    <col min="4" max="4" width="6.6" style="1"/>
    <col min="5" max="7" width="17.2083333333333" style="1"/>
    <col min="8" max="13" width="15.775" style="1"/>
    <col min="14" max="15" width="17.2083333333333" style="1"/>
    <col min="16" max="16" width="13.475" style="1"/>
  </cols>
  <sheetData>
    <row r="1" ht="37.5" customHeight="1" spans="1:16">
      <c r="A1" s="20" t="s">
        <v>415</v>
      </c>
      <c r="B1" s="21"/>
      <c r="C1" s="20"/>
      <c r="D1" s="21"/>
      <c r="E1" s="20"/>
      <c r="F1" s="20"/>
      <c r="G1" s="21"/>
      <c r="H1" s="20"/>
      <c r="I1" s="20"/>
      <c r="J1" s="20"/>
      <c r="K1" s="20"/>
      <c r="L1" s="21"/>
      <c r="M1" s="20"/>
      <c r="N1" s="20"/>
      <c r="O1" s="20"/>
      <c r="P1" s="20"/>
    </row>
    <row r="2" ht="18" customHeight="1" spans="1:16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39" t="s">
        <v>48</v>
      </c>
      <c r="P2" s="39"/>
    </row>
    <row r="3" ht="15.75" customHeight="1" spans="1:16">
      <c r="A3" s="24" t="s">
        <v>1</v>
      </c>
      <c r="B3" s="24"/>
      <c r="C3" s="24"/>
      <c r="D3" s="25" t="s">
        <v>52</v>
      </c>
      <c r="E3" s="26"/>
      <c r="F3" s="26"/>
      <c r="G3" s="26"/>
      <c r="H3" s="25" t="s">
        <v>53</v>
      </c>
      <c r="I3" s="24"/>
      <c r="J3" s="26"/>
      <c r="K3" s="26"/>
      <c r="L3" s="26"/>
      <c r="M3" s="26"/>
      <c r="N3" s="26"/>
      <c r="O3" s="26"/>
      <c r="P3" s="26"/>
    </row>
    <row r="4" ht="15.75" customHeight="1" spans="1:16">
      <c r="A4" s="27" t="s">
        <v>55</v>
      </c>
      <c r="B4" s="27"/>
      <c r="C4" s="27"/>
      <c r="D4" s="27" t="s">
        <v>110</v>
      </c>
      <c r="E4" s="27" t="s">
        <v>132</v>
      </c>
      <c r="F4" s="27" t="s">
        <v>134</v>
      </c>
      <c r="G4" s="27" t="s">
        <v>112</v>
      </c>
      <c r="H4" s="27" t="s">
        <v>151</v>
      </c>
      <c r="I4" s="27"/>
      <c r="J4" s="27" t="s">
        <v>152</v>
      </c>
      <c r="K4" s="27"/>
      <c r="L4" s="27" t="s">
        <v>153</v>
      </c>
      <c r="M4" s="27"/>
      <c r="N4" s="27" t="s">
        <v>76</v>
      </c>
      <c r="O4" s="27"/>
      <c r="P4" s="27"/>
    </row>
    <row r="5" ht="31.5" customHeight="1" spans="1:16">
      <c r="A5" s="27"/>
      <c r="B5" s="27"/>
      <c r="C5" s="27"/>
      <c r="D5" s="27"/>
      <c r="E5" s="27"/>
      <c r="F5" s="27"/>
      <c r="G5" s="27"/>
      <c r="H5" s="27" t="s">
        <v>154</v>
      </c>
      <c r="I5" s="27" t="s">
        <v>155</v>
      </c>
      <c r="J5" s="27" t="s">
        <v>156</v>
      </c>
      <c r="K5" s="27" t="s">
        <v>155</v>
      </c>
      <c r="L5" s="27" t="s">
        <v>157</v>
      </c>
      <c r="M5" s="27" t="s">
        <v>158</v>
      </c>
      <c r="N5" s="27" t="s">
        <v>118</v>
      </c>
      <c r="O5" s="27" t="s">
        <v>159</v>
      </c>
      <c r="P5" s="27" t="s">
        <v>154</v>
      </c>
    </row>
    <row r="6" ht="19.5" customHeight="1" spans="1:16">
      <c r="A6" s="28" t="s">
        <v>416</v>
      </c>
      <c r="B6" s="28" t="s">
        <v>417</v>
      </c>
      <c r="C6" s="28" t="s">
        <v>401</v>
      </c>
      <c r="D6" s="29" t="s">
        <v>143</v>
      </c>
      <c r="E6" s="30">
        <v>3248770.25</v>
      </c>
      <c r="F6" s="30">
        <v>2044360.19</v>
      </c>
      <c r="G6" s="31">
        <v>1595898.21</v>
      </c>
      <c r="H6" s="32">
        <v>-0.2193654436</v>
      </c>
      <c r="I6" s="40">
        <v>0</v>
      </c>
      <c r="J6" s="41">
        <v>-0.2109665843</v>
      </c>
      <c r="K6" s="40">
        <v>0</v>
      </c>
      <c r="L6" s="40">
        <v>0</v>
      </c>
      <c r="M6" s="40">
        <v>0</v>
      </c>
      <c r="N6" s="35">
        <v>1791862.5</v>
      </c>
      <c r="O6" s="35">
        <v>195964.29</v>
      </c>
      <c r="P6" s="32">
        <v>0.1227924743</v>
      </c>
    </row>
    <row r="7" ht="19.5" customHeight="1" spans="1:16">
      <c r="A7" s="28"/>
      <c r="B7" s="28"/>
      <c r="C7" s="28" t="s">
        <v>418</v>
      </c>
      <c r="D7" s="29" t="s">
        <v>121</v>
      </c>
      <c r="E7" s="33">
        <v>665</v>
      </c>
      <c r="F7" s="33">
        <v>487</v>
      </c>
      <c r="G7" s="34">
        <v>387</v>
      </c>
      <c r="H7" s="32">
        <v>-0.205338809</v>
      </c>
      <c r="I7" s="42">
        <v>0</v>
      </c>
      <c r="J7" s="41">
        <v>-0.1651090119</v>
      </c>
      <c r="K7" s="41">
        <v>1</v>
      </c>
      <c r="L7" s="41">
        <v>-0.1651090119</v>
      </c>
      <c r="M7" s="42">
        <v>0.1</v>
      </c>
      <c r="N7" s="43">
        <v>426</v>
      </c>
      <c r="O7" s="43">
        <v>39</v>
      </c>
      <c r="P7" s="32">
        <v>0.1007751938</v>
      </c>
    </row>
    <row r="8" ht="19.5" customHeight="1" spans="1:16">
      <c r="A8" s="28"/>
      <c r="B8" s="28"/>
      <c r="C8" s="28" t="s">
        <v>419</v>
      </c>
      <c r="D8" s="29" t="s">
        <v>143</v>
      </c>
      <c r="E8" s="35">
        <v>4885.37</v>
      </c>
      <c r="F8" s="35">
        <v>4197.86</v>
      </c>
      <c r="G8" s="35">
        <v>4123.77</v>
      </c>
      <c r="H8" s="32">
        <v>-0.017649469</v>
      </c>
      <c r="I8" s="42">
        <v>1</v>
      </c>
      <c r="J8" s="41">
        <v>-0.0549263428</v>
      </c>
      <c r="K8" s="41">
        <v>0</v>
      </c>
      <c r="L8" s="41">
        <v>-0.017649469</v>
      </c>
      <c r="M8" s="42">
        <v>0.02</v>
      </c>
      <c r="N8" s="35">
        <v>4206.25</v>
      </c>
      <c r="O8" s="35">
        <v>82.48</v>
      </c>
      <c r="P8" s="32">
        <v>0.0200011155</v>
      </c>
    </row>
    <row r="9" ht="19.5" customHeight="1" spans="1:16">
      <c r="A9" s="28"/>
      <c r="B9" s="28"/>
      <c r="C9" s="28" t="s">
        <v>402</v>
      </c>
      <c r="D9" s="29" t="s">
        <v>143</v>
      </c>
      <c r="E9" s="30">
        <v>0</v>
      </c>
      <c r="F9" s="30">
        <v>0</v>
      </c>
      <c r="G9" s="31">
        <v>0</v>
      </c>
      <c r="H9" s="32">
        <v>0</v>
      </c>
      <c r="I9" s="40">
        <v>0</v>
      </c>
      <c r="J9" s="41">
        <v>0</v>
      </c>
      <c r="K9" s="40">
        <v>0</v>
      </c>
      <c r="L9" s="40">
        <v>0</v>
      </c>
      <c r="M9" s="40">
        <v>0</v>
      </c>
      <c r="N9" s="35">
        <v>0</v>
      </c>
      <c r="O9" s="35">
        <v>0</v>
      </c>
      <c r="P9" s="32">
        <v>0</v>
      </c>
    </row>
    <row r="10" ht="19.5" customHeight="1" spans="1:16">
      <c r="A10" s="28"/>
      <c r="B10" s="28"/>
      <c r="C10" s="28" t="s">
        <v>411</v>
      </c>
      <c r="D10" s="29" t="s">
        <v>206</v>
      </c>
      <c r="E10" s="33">
        <v>0</v>
      </c>
      <c r="F10" s="33">
        <v>0</v>
      </c>
      <c r="G10" s="34">
        <v>0</v>
      </c>
      <c r="H10" s="32">
        <v>0</v>
      </c>
      <c r="I10" s="42">
        <v>0</v>
      </c>
      <c r="J10" s="41">
        <v>0</v>
      </c>
      <c r="K10" s="41">
        <v>1</v>
      </c>
      <c r="L10" s="41">
        <v>0</v>
      </c>
      <c r="M10" s="42">
        <v>0</v>
      </c>
      <c r="N10" s="43">
        <v>0</v>
      </c>
      <c r="O10" s="43">
        <v>0</v>
      </c>
      <c r="P10" s="32">
        <v>0</v>
      </c>
    </row>
    <row r="11" ht="19.5" customHeight="1" spans="1:16">
      <c r="A11" s="28"/>
      <c r="B11" s="28"/>
      <c r="C11" s="28" t="s">
        <v>420</v>
      </c>
      <c r="D11" s="29" t="s">
        <v>143</v>
      </c>
      <c r="E11" s="35">
        <v>0</v>
      </c>
      <c r="F11" s="35">
        <v>0</v>
      </c>
      <c r="G11" s="35">
        <v>0</v>
      </c>
      <c r="H11" s="32">
        <v>0</v>
      </c>
      <c r="I11" s="42">
        <v>0</v>
      </c>
      <c r="J11" s="41">
        <v>0</v>
      </c>
      <c r="K11" s="41">
        <v>1</v>
      </c>
      <c r="L11" s="41">
        <v>0</v>
      </c>
      <c r="M11" s="42">
        <v>0</v>
      </c>
      <c r="N11" s="35">
        <v>0</v>
      </c>
      <c r="O11" s="35">
        <v>0</v>
      </c>
      <c r="P11" s="32">
        <v>0</v>
      </c>
    </row>
    <row r="12" ht="19.5" customHeight="1" spans="1:16">
      <c r="A12" s="28"/>
      <c r="B12" s="28"/>
      <c r="C12" s="28" t="s">
        <v>421</v>
      </c>
      <c r="D12" s="29" t="s">
        <v>143</v>
      </c>
      <c r="E12" s="35">
        <v>3248770.25</v>
      </c>
      <c r="F12" s="35">
        <v>2044360.19</v>
      </c>
      <c r="G12" s="35">
        <v>1595898.21</v>
      </c>
      <c r="H12" s="32">
        <v>-0.2193654436</v>
      </c>
      <c r="I12" s="40">
        <v>0</v>
      </c>
      <c r="J12" s="41">
        <v>-0.2109665843</v>
      </c>
      <c r="K12" s="40">
        <v>0</v>
      </c>
      <c r="L12" s="40">
        <v>0</v>
      </c>
      <c r="M12" s="40">
        <v>0</v>
      </c>
      <c r="N12" s="35">
        <v>1791862.5</v>
      </c>
      <c r="O12" s="35">
        <v>195964.29</v>
      </c>
      <c r="P12" s="32">
        <v>0.1227924743</v>
      </c>
    </row>
    <row r="13" ht="19.5" customHeight="1" spans="1:16">
      <c r="A13" s="28"/>
      <c r="B13" s="28" t="s">
        <v>422</v>
      </c>
      <c r="C13" s="28" t="s">
        <v>403</v>
      </c>
      <c r="D13" s="29" t="s">
        <v>143</v>
      </c>
      <c r="E13" s="30">
        <v>2360337.62</v>
      </c>
      <c r="F13" s="30">
        <v>2878188.56</v>
      </c>
      <c r="G13" s="31">
        <v>3334187.47</v>
      </c>
      <c r="H13" s="32">
        <v>0.1584326046</v>
      </c>
      <c r="I13" s="40">
        <v>0</v>
      </c>
      <c r="J13" s="41">
        <v>0.1220321357</v>
      </c>
      <c r="K13" s="40">
        <v>0</v>
      </c>
      <c r="L13" s="40">
        <v>0</v>
      </c>
      <c r="M13" s="40">
        <v>0</v>
      </c>
      <c r="N13" s="35">
        <v>3949729.28</v>
      </c>
      <c r="O13" s="35">
        <v>615541.81</v>
      </c>
      <c r="P13" s="32">
        <v>0.184615237</v>
      </c>
    </row>
    <row r="14" ht="19.5" customHeight="1" spans="1:16">
      <c r="A14" s="28"/>
      <c r="B14" s="28"/>
      <c r="C14" s="28" t="s">
        <v>412</v>
      </c>
      <c r="D14" s="29" t="s">
        <v>206</v>
      </c>
      <c r="E14" s="33">
        <v>75</v>
      </c>
      <c r="F14" s="33">
        <v>113</v>
      </c>
      <c r="G14" s="34">
        <v>104</v>
      </c>
      <c r="H14" s="32">
        <v>-0.0796460177</v>
      </c>
      <c r="I14" s="42">
        <v>0</v>
      </c>
      <c r="J14" s="41">
        <v>0.1151262143</v>
      </c>
      <c r="K14" s="41">
        <v>1</v>
      </c>
      <c r="L14" s="41">
        <v>0.1151262143</v>
      </c>
      <c r="M14" s="42">
        <v>0.08</v>
      </c>
      <c r="N14" s="43">
        <v>112</v>
      </c>
      <c r="O14" s="43">
        <v>8</v>
      </c>
      <c r="P14" s="32">
        <v>0.08</v>
      </c>
    </row>
    <row r="15" ht="19.5" customHeight="1" spans="1:16">
      <c r="A15" s="28"/>
      <c r="B15" s="28"/>
      <c r="C15" s="28" t="s">
        <v>423</v>
      </c>
      <c r="D15" s="29" t="s">
        <v>143</v>
      </c>
      <c r="E15" s="35">
        <v>31471.17</v>
      </c>
      <c r="F15" s="35">
        <v>25470.7</v>
      </c>
      <c r="G15" s="35">
        <v>32059.49</v>
      </c>
      <c r="H15" s="32">
        <v>0.2586811513</v>
      </c>
      <c r="I15" s="42">
        <v>0</v>
      </c>
      <c r="J15" s="41">
        <v>0.0061928807</v>
      </c>
      <c r="K15" s="41">
        <v>1</v>
      </c>
      <c r="L15" s="41">
        <v>0.0061928807</v>
      </c>
      <c r="M15" s="42">
        <v>0.1</v>
      </c>
      <c r="N15" s="35">
        <v>35265.44</v>
      </c>
      <c r="O15" s="35">
        <v>3205.95</v>
      </c>
      <c r="P15" s="32">
        <v>0.1000000312</v>
      </c>
    </row>
    <row r="16" ht="19.5" customHeight="1" spans="1:16">
      <c r="A16" s="28"/>
      <c r="B16" s="28"/>
      <c r="C16" s="28" t="s">
        <v>404</v>
      </c>
      <c r="D16" s="29" t="s">
        <v>143</v>
      </c>
      <c r="E16" s="30">
        <v>115958.01</v>
      </c>
      <c r="F16" s="30">
        <v>63375.24</v>
      </c>
      <c r="G16" s="31">
        <v>74293.03</v>
      </c>
      <c r="H16" s="32">
        <v>0.1722721681</v>
      </c>
      <c r="I16" s="40">
        <v>0</v>
      </c>
      <c r="J16" s="41">
        <v>-0.1379169508</v>
      </c>
      <c r="K16" s="40">
        <v>0</v>
      </c>
      <c r="L16" s="40">
        <v>0</v>
      </c>
      <c r="M16" s="40">
        <v>0</v>
      </c>
      <c r="N16" s="35">
        <v>85808.71</v>
      </c>
      <c r="O16" s="35">
        <v>11515.68</v>
      </c>
      <c r="P16" s="32">
        <v>0.1550035044</v>
      </c>
    </row>
    <row r="17" ht="19.5" customHeight="1" spans="1:16">
      <c r="A17" s="28"/>
      <c r="B17" s="28"/>
      <c r="C17" s="28" t="s">
        <v>413</v>
      </c>
      <c r="D17" s="29" t="s">
        <v>206</v>
      </c>
      <c r="E17" s="33">
        <v>21</v>
      </c>
      <c r="F17" s="33">
        <v>61</v>
      </c>
      <c r="G17" s="34">
        <v>67</v>
      </c>
      <c r="H17" s="32">
        <v>0.0983606557</v>
      </c>
      <c r="I17" s="42">
        <v>0</v>
      </c>
      <c r="J17" s="41">
        <v>0.4721492295</v>
      </c>
      <c r="K17" s="41">
        <v>1</v>
      </c>
      <c r="L17" s="41">
        <v>0.4721492295</v>
      </c>
      <c r="M17" s="42">
        <v>0.05</v>
      </c>
      <c r="N17" s="43">
        <v>70</v>
      </c>
      <c r="O17" s="43">
        <v>3</v>
      </c>
      <c r="P17" s="32">
        <v>0.0447761194</v>
      </c>
    </row>
    <row r="18" ht="19.5" customHeight="1" spans="1:16">
      <c r="A18" s="36"/>
      <c r="B18" s="36"/>
      <c r="C18" s="28" t="s">
        <v>424</v>
      </c>
      <c r="D18" s="29" t="s">
        <v>143</v>
      </c>
      <c r="E18" s="35">
        <v>5521.81</v>
      </c>
      <c r="F18" s="35">
        <v>1038.94</v>
      </c>
      <c r="G18" s="35">
        <v>1108.85</v>
      </c>
      <c r="H18" s="32">
        <v>0.0672897376</v>
      </c>
      <c r="I18" s="44">
        <v>0</v>
      </c>
      <c r="J18" s="45">
        <v>-0.4144053316</v>
      </c>
      <c r="K18" s="41">
        <v>1</v>
      </c>
      <c r="L18" s="41">
        <v>-0.4144053316</v>
      </c>
      <c r="M18" s="44">
        <v>0.1</v>
      </c>
      <c r="N18" s="46">
        <v>1219.74</v>
      </c>
      <c r="O18" s="35">
        <v>110.89</v>
      </c>
      <c r="P18" s="32">
        <v>0.1000045092</v>
      </c>
    </row>
    <row r="19" ht="19.5" customHeight="1" spans="1:16">
      <c r="A19" s="36"/>
      <c r="B19" s="36"/>
      <c r="C19" s="28" t="s">
        <v>405</v>
      </c>
      <c r="D19" s="29" t="s">
        <v>143</v>
      </c>
      <c r="E19" s="37">
        <v>0</v>
      </c>
      <c r="F19" s="37">
        <v>0</v>
      </c>
      <c r="G19" s="31">
        <v>0</v>
      </c>
      <c r="H19" s="32">
        <v>0</v>
      </c>
      <c r="I19" s="47">
        <v>0</v>
      </c>
      <c r="J19" s="45">
        <v>0</v>
      </c>
      <c r="K19" s="40">
        <v>0</v>
      </c>
      <c r="L19" s="40">
        <v>0</v>
      </c>
      <c r="M19" s="47">
        <v>0</v>
      </c>
      <c r="N19" s="46">
        <v>0</v>
      </c>
      <c r="O19" s="35">
        <v>0</v>
      </c>
      <c r="P19" s="32">
        <v>0</v>
      </c>
    </row>
    <row r="20" ht="19.5" customHeight="1" spans="1:16">
      <c r="A20" s="36"/>
      <c r="B20" s="36"/>
      <c r="C20" s="28" t="s">
        <v>414</v>
      </c>
      <c r="D20" s="29" t="s">
        <v>206</v>
      </c>
      <c r="E20" s="38">
        <v>0</v>
      </c>
      <c r="F20" s="38">
        <v>0</v>
      </c>
      <c r="G20" s="34">
        <v>0</v>
      </c>
      <c r="H20" s="32">
        <v>0</v>
      </c>
      <c r="I20" s="44">
        <v>0</v>
      </c>
      <c r="J20" s="45">
        <v>0</v>
      </c>
      <c r="K20" s="41">
        <v>1</v>
      </c>
      <c r="L20" s="41">
        <v>0</v>
      </c>
      <c r="M20" s="44">
        <v>0</v>
      </c>
      <c r="N20" s="48">
        <v>0</v>
      </c>
      <c r="O20" s="43">
        <v>0</v>
      </c>
      <c r="P20" s="32">
        <v>0</v>
      </c>
    </row>
    <row r="21" ht="19.5" customHeight="1" spans="1:16">
      <c r="A21" s="36"/>
      <c r="B21" s="36"/>
      <c r="C21" s="28" t="s">
        <v>425</v>
      </c>
      <c r="D21" s="29" t="s">
        <v>143</v>
      </c>
      <c r="E21" s="35">
        <v>0</v>
      </c>
      <c r="F21" s="35">
        <v>0</v>
      </c>
      <c r="G21" s="35">
        <v>0</v>
      </c>
      <c r="H21" s="32">
        <v>0</v>
      </c>
      <c r="I21" s="44">
        <v>0</v>
      </c>
      <c r="J21" s="45">
        <v>0</v>
      </c>
      <c r="K21" s="41">
        <v>1</v>
      </c>
      <c r="L21" s="41">
        <v>0</v>
      </c>
      <c r="M21" s="44">
        <v>0</v>
      </c>
      <c r="N21" s="46">
        <v>0</v>
      </c>
      <c r="O21" s="35">
        <v>0</v>
      </c>
      <c r="P21" s="32">
        <v>0</v>
      </c>
    </row>
    <row r="22" ht="19.5" customHeight="1" spans="1:16">
      <c r="A22" s="36"/>
      <c r="B22" s="36"/>
      <c r="C22" s="28" t="s">
        <v>426</v>
      </c>
      <c r="D22" s="29" t="s">
        <v>143</v>
      </c>
      <c r="E22" s="35">
        <v>2476295.63</v>
      </c>
      <c r="F22" s="35">
        <v>2941563.8</v>
      </c>
      <c r="G22" s="35">
        <v>3408480.5</v>
      </c>
      <c r="H22" s="32">
        <v>0.1587307744</v>
      </c>
      <c r="I22" s="47">
        <v>0</v>
      </c>
      <c r="J22" s="45">
        <v>0.1123789813</v>
      </c>
      <c r="K22" s="40">
        <v>0</v>
      </c>
      <c r="L22" s="40">
        <v>0</v>
      </c>
      <c r="M22" s="47">
        <v>0</v>
      </c>
      <c r="N22" s="35">
        <v>4035537.99</v>
      </c>
      <c r="O22" s="35">
        <v>627057.49</v>
      </c>
      <c r="P22" s="32">
        <v>0.1839698041</v>
      </c>
    </row>
    <row r="23" ht="19.5" customHeight="1" spans="1:16">
      <c r="A23" s="28"/>
      <c r="B23" s="28" t="s">
        <v>427</v>
      </c>
      <c r="C23" s="36"/>
      <c r="D23" s="29" t="s">
        <v>143</v>
      </c>
      <c r="E23" s="35">
        <v>5725065.88</v>
      </c>
      <c r="F23" s="35">
        <v>4985923.99</v>
      </c>
      <c r="G23" s="35">
        <v>5004378.71</v>
      </c>
      <c r="H23" s="32">
        <v>0.0037013641</v>
      </c>
      <c r="I23" s="40">
        <v>0</v>
      </c>
      <c r="J23" s="41">
        <v>-0.043856171</v>
      </c>
      <c r="K23" s="40">
        <v>0</v>
      </c>
      <c r="L23" s="40">
        <v>0</v>
      </c>
      <c r="M23" s="40">
        <v>0</v>
      </c>
      <c r="N23" s="35">
        <v>5827400.49</v>
      </c>
      <c r="O23" s="35">
        <v>823021.78</v>
      </c>
      <c r="P23" s="32">
        <v>0.1644603312</v>
      </c>
    </row>
  </sheetData>
  <mergeCells count="17">
    <mergeCell ref="A1:P1"/>
    <mergeCell ref="O2:P2"/>
    <mergeCell ref="A3:C3"/>
    <mergeCell ref="D3:F3"/>
    <mergeCell ref="H4:I4"/>
    <mergeCell ref="J4:K4"/>
    <mergeCell ref="L4:M4"/>
    <mergeCell ref="N4:P4"/>
    <mergeCell ref="B23:C23"/>
    <mergeCell ref="A6:A23"/>
    <mergeCell ref="B6:B12"/>
    <mergeCell ref="B13:B22"/>
    <mergeCell ref="D4:D5"/>
    <mergeCell ref="E4:E5"/>
    <mergeCell ref="F4:F5"/>
    <mergeCell ref="G4:G5"/>
    <mergeCell ref="A4:C5"/>
  </mergeCells>
  <printOptions horizont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zoomScalePageLayoutView="60" workbookViewId="0">
      <selection activeCell="A1" sqref="A1:H1"/>
    </sheetView>
  </sheetViews>
  <sheetFormatPr defaultColWidth="8" defaultRowHeight="14.25" outlineLevelCol="7"/>
  <cols>
    <col min="1" max="1" width="28.5333333333333" style="1"/>
    <col min="2" max="2" width="6.45" style="1"/>
    <col min="3" max="4" width="22.8" style="1"/>
    <col min="5" max="5" width="28.5333333333333" style="1"/>
    <col min="6" max="6" width="7.16666666666667" style="1"/>
    <col min="7" max="8" width="22.8" style="1"/>
  </cols>
  <sheetData>
    <row r="1" ht="45" customHeight="1" spans="1:8">
      <c r="A1" s="2" t="s">
        <v>428</v>
      </c>
      <c r="B1" s="2"/>
      <c r="C1" s="2"/>
      <c r="D1" s="2"/>
      <c r="E1" s="2"/>
      <c r="F1" s="2"/>
      <c r="G1" s="2"/>
      <c r="H1" s="2"/>
    </row>
    <row r="2" ht="19.5" customHeight="1" spans="1:8">
      <c r="A2" s="3"/>
      <c r="B2" s="3"/>
      <c r="C2" s="3"/>
      <c r="D2" s="3"/>
      <c r="E2" s="3"/>
      <c r="F2" s="3"/>
      <c r="G2" s="3"/>
      <c r="H2" s="4" t="s">
        <v>429</v>
      </c>
    </row>
    <row r="3" ht="15" customHeight="1" spans="1:8">
      <c r="A3" s="5" t="s">
        <v>430</v>
      </c>
      <c r="B3" s="6" t="s">
        <v>52</v>
      </c>
      <c r="C3" s="7"/>
      <c r="D3" s="7"/>
      <c r="E3" s="8" t="s">
        <v>53</v>
      </c>
      <c r="F3" s="5"/>
      <c r="G3" s="8"/>
      <c r="H3" s="9"/>
    </row>
    <row r="4" ht="27.75" customHeight="1" spans="1:8">
      <c r="A4" s="10" t="s">
        <v>431</v>
      </c>
      <c r="B4" s="10" t="s">
        <v>110</v>
      </c>
      <c r="C4" s="10" t="s">
        <v>75</v>
      </c>
      <c r="D4" s="10" t="s">
        <v>76</v>
      </c>
      <c r="E4" s="10" t="s">
        <v>432</v>
      </c>
      <c r="F4" s="10" t="s">
        <v>110</v>
      </c>
      <c r="G4" s="10" t="s">
        <v>75</v>
      </c>
      <c r="H4" s="10" t="s">
        <v>76</v>
      </c>
    </row>
    <row r="5" ht="15" customHeight="1" spans="1:8">
      <c r="A5" s="11" t="s">
        <v>433</v>
      </c>
      <c r="B5" s="10" t="s">
        <v>434</v>
      </c>
      <c r="C5" s="10" t="s">
        <v>434</v>
      </c>
      <c r="D5" s="10" t="s">
        <v>434</v>
      </c>
      <c r="E5" s="11" t="s">
        <v>435</v>
      </c>
      <c r="F5" s="10" t="s">
        <v>143</v>
      </c>
      <c r="G5" s="12">
        <v>0</v>
      </c>
      <c r="H5" s="13">
        <f>G8</f>
        <v>0</v>
      </c>
    </row>
    <row r="6" ht="15" customHeight="1" spans="1:8">
      <c r="A6" s="11" t="s">
        <v>436</v>
      </c>
      <c r="B6" s="10" t="s">
        <v>121</v>
      </c>
      <c r="C6" s="14">
        <f>C7+C8</f>
        <v>41949</v>
      </c>
      <c r="D6" s="14">
        <f>D7+D8</f>
        <v>42669</v>
      </c>
      <c r="E6" s="11" t="s">
        <v>437</v>
      </c>
      <c r="F6" s="10" t="s">
        <v>143</v>
      </c>
      <c r="G6" s="13">
        <v>0</v>
      </c>
      <c r="H6" s="13">
        <v>0</v>
      </c>
    </row>
    <row r="7" ht="15" customHeight="1" spans="1:8">
      <c r="A7" s="11" t="s">
        <v>438</v>
      </c>
      <c r="B7" s="10" t="s">
        <v>121</v>
      </c>
      <c r="C7" s="15">
        <v>29306</v>
      </c>
      <c r="D7" s="13">
        <v>29745</v>
      </c>
      <c r="E7" s="11" t="s">
        <v>439</v>
      </c>
      <c r="F7" s="10" t="s">
        <v>143</v>
      </c>
      <c r="G7" s="12">
        <v>0</v>
      </c>
      <c r="H7" s="12">
        <v>0</v>
      </c>
    </row>
    <row r="8" ht="15" customHeight="1" spans="1:8">
      <c r="A8" s="11" t="s">
        <v>440</v>
      </c>
      <c r="B8" s="10" t="s">
        <v>121</v>
      </c>
      <c r="C8" s="15">
        <v>12643</v>
      </c>
      <c r="D8" s="15">
        <v>12924</v>
      </c>
      <c r="E8" s="11" t="s">
        <v>441</v>
      </c>
      <c r="F8" s="10" t="s">
        <v>143</v>
      </c>
      <c r="G8" s="12">
        <f>G5-G6+G7</f>
        <v>0</v>
      </c>
      <c r="H8" s="12">
        <f>H5-H6+H7</f>
        <v>0</v>
      </c>
    </row>
    <row r="9" ht="15" customHeight="1" spans="1:8">
      <c r="A9" s="11" t="s">
        <v>442</v>
      </c>
      <c r="B9" s="10" t="s">
        <v>121</v>
      </c>
      <c r="C9" s="12">
        <v>29306</v>
      </c>
      <c r="D9" s="12">
        <v>29745</v>
      </c>
      <c r="E9" s="11" t="s">
        <v>443</v>
      </c>
      <c r="F9" s="10" t="s">
        <v>143</v>
      </c>
      <c r="G9" s="16">
        <v>0</v>
      </c>
      <c r="H9" s="16">
        <v>0</v>
      </c>
    </row>
    <row r="10" ht="15" customHeight="1" spans="1:8">
      <c r="A10" s="11" t="s">
        <v>444</v>
      </c>
      <c r="B10" s="10" t="s">
        <v>143</v>
      </c>
      <c r="C10" s="13">
        <v>1760579981.49</v>
      </c>
      <c r="D10" s="13">
        <v>1848608980.56</v>
      </c>
      <c r="E10" s="11" t="s">
        <v>445</v>
      </c>
      <c r="F10" s="10" t="s">
        <v>143</v>
      </c>
      <c r="G10" s="13">
        <v>0</v>
      </c>
      <c r="H10" s="13">
        <v>0</v>
      </c>
    </row>
    <row r="11" ht="15" customHeight="1" spans="1:8">
      <c r="A11" s="11" t="s">
        <v>446</v>
      </c>
      <c r="B11" s="10" t="s">
        <v>143</v>
      </c>
      <c r="C11" s="13">
        <v>1760579981.49</v>
      </c>
      <c r="D11" s="13">
        <v>1848608980.56</v>
      </c>
      <c r="E11" s="11" t="s">
        <v>447</v>
      </c>
      <c r="F11" s="10" t="s">
        <v>434</v>
      </c>
      <c r="G11" s="17" t="s">
        <v>434</v>
      </c>
      <c r="H11" s="17" t="s">
        <v>434</v>
      </c>
    </row>
    <row r="12" ht="15" customHeight="1" spans="1:8">
      <c r="A12" s="11" t="s">
        <v>448</v>
      </c>
      <c r="B12" s="10" t="s">
        <v>143</v>
      </c>
      <c r="C12" s="13">
        <v>1760579981.49</v>
      </c>
      <c r="D12" s="13">
        <v>1848608980.56</v>
      </c>
      <c r="E12" s="11" t="s">
        <v>449</v>
      </c>
      <c r="F12" s="10" t="s">
        <v>121</v>
      </c>
      <c r="G12" s="15">
        <v>603912</v>
      </c>
      <c r="H12" s="15">
        <v>575054</v>
      </c>
    </row>
    <row r="13" ht="15" customHeight="1" spans="1:8">
      <c r="A13" s="11" t="s">
        <v>450</v>
      </c>
      <c r="B13" s="10" t="s">
        <v>130</v>
      </c>
      <c r="C13" s="18">
        <f>C14+C15</f>
        <v>0.09</v>
      </c>
      <c r="D13" s="18">
        <f>D14+D15</f>
        <v>0.09</v>
      </c>
      <c r="E13" s="11" t="s">
        <v>451</v>
      </c>
      <c r="F13" s="10" t="s">
        <v>452</v>
      </c>
      <c r="G13" s="16">
        <f>G14+G15</f>
        <v>860</v>
      </c>
      <c r="H13" s="16">
        <f>H14+H15</f>
        <v>930</v>
      </c>
    </row>
    <row r="14" ht="15" customHeight="1" spans="1:8">
      <c r="A14" s="11" t="s">
        <v>453</v>
      </c>
      <c r="B14" s="10" t="s">
        <v>130</v>
      </c>
      <c r="C14" s="19">
        <v>0.07</v>
      </c>
      <c r="D14" s="19">
        <v>0.07</v>
      </c>
      <c r="E14" s="11" t="s">
        <v>454</v>
      </c>
      <c r="F14" s="10" t="s">
        <v>452</v>
      </c>
      <c r="G14" s="13">
        <v>280</v>
      </c>
      <c r="H14" s="13">
        <v>320</v>
      </c>
    </row>
    <row r="15" ht="15" customHeight="1" spans="1:8">
      <c r="A15" s="11" t="s">
        <v>455</v>
      </c>
      <c r="B15" s="10" t="s">
        <v>130</v>
      </c>
      <c r="C15" s="19">
        <v>0.02</v>
      </c>
      <c r="D15" s="19">
        <v>0.02</v>
      </c>
      <c r="E15" s="11" t="s">
        <v>456</v>
      </c>
      <c r="F15" s="10" t="s">
        <v>452</v>
      </c>
      <c r="G15" s="13">
        <v>580</v>
      </c>
      <c r="H15" s="13">
        <v>610</v>
      </c>
    </row>
    <row r="16" ht="15" customHeight="1" spans="1:8">
      <c r="A16" s="11" t="s">
        <v>457</v>
      </c>
      <c r="B16" s="10" t="s">
        <v>458</v>
      </c>
      <c r="C16" s="13">
        <f>ROUND(IF(C9=0,0,C12/C9),2)</f>
        <v>60075.75</v>
      </c>
      <c r="D16" s="13">
        <f>ROUND(IF(D9=0,0,D12/D9),2)</f>
        <v>62148.56</v>
      </c>
      <c r="E16" s="11" t="s">
        <v>459</v>
      </c>
      <c r="F16" s="10" t="s">
        <v>434</v>
      </c>
      <c r="G16" s="10" t="s">
        <v>434</v>
      </c>
      <c r="H16" s="10" t="s">
        <v>434</v>
      </c>
    </row>
    <row r="17" ht="15" customHeight="1" spans="1:8">
      <c r="A17" s="11" t="s">
        <v>460</v>
      </c>
      <c r="B17" s="10" t="s">
        <v>434</v>
      </c>
      <c r="C17" s="10" t="s">
        <v>434</v>
      </c>
      <c r="D17" s="10" t="s">
        <v>434</v>
      </c>
      <c r="E17" s="11" t="s">
        <v>461</v>
      </c>
      <c r="F17" s="10" t="s">
        <v>121</v>
      </c>
      <c r="G17" s="15">
        <v>603912</v>
      </c>
      <c r="H17" s="15">
        <v>575054</v>
      </c>
    </row>
    <row r="18" ht="15" customHeight="1" spans="1:8">
      <c r="A18" s="11" t="s">
        <v>462</v>
      </c>
      <c r="B18" s="10" t="s">
        <v>143</v>
      </c>
      <c r="C18" s="12">
        <v>158452198.33</v>
      </c>
      <c r="D18" s="12">
        <v>166374808.25</v>
      </c>
      <c r="E18" s="11" t="s">
        <v>463</v>
      </c>
      <c r="F18" s="10" t="s">
        <v>452</v>
      </c>
      <c r="G18" s="12">
        <v>87</v>
      </c>
      <c r="H18" s="12">
        <v>100</v>
      </c>
    </row>
    <row r="19" ht="15" customHeight="1" spans="1:8">
      <c r="A19" s="11" t="s">
        <v>464</v>
      </c>
      <c r="B19" s="10" t="s">
        <v>434</v>
      </c>
      <c r="C19" s="10" t="s">
        <v>434</v>
      </c>
      <c r="D19" s="10" t="s">
        <v>434</v>
      </c>
      <c r="E19" s="11" t="s">
        <v>465</v>
      </c>
      <c r="F19" s="10" t="s">
        <v>452</v>
      </c>
      <c r="G19" s="13">
        <v>87</v>
      </c>
      <c r="H19" s="13">
        <v>100</v>
      </c>
    </row>
  </sheetData>
  <mergeCells count="2">
    <mergeCell ref="A1:H1"/>
    <mergeCell ref="B3:D3"/>
  </mergeCells>
  <printOptions horizontalCentered="1"/>
  <pageMargins left="1.18110236220472" right="1.18110236220472" top="1.18110236220472" bottom="1.18110236220472" header="0.51181" footer="0.51181"/>
  <pageSetup paperSize="9" scale="85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PageLayoutView="60" workbookViewId="0">
      <selection activeCell="D22" sqref="D22"/>
    </sheetView>
  </sheetViews>
  <sheetFormatPr defaultColWidth="8" defaultRowHeight="14.25" outlineLevelCol="3"/>
  <cols>
    <col min="1" max="1" width="21.0833333333333" style="1"/>
    <col min="2" max="2" width="20.9333333333333" style="1"/>
    <col min="3" max="3" width="26.9583333333333" style="1"/>
    <col min="4" max="4" width="27.1083333333333" style="1"/>
  </cols>
  <sheetData>
    <row r="1" ht="41.25" customHeight="1" spans="1:4">
      <c r="A1" s="278" t="s">
        <v>51</v>
      </c>
      <c r="B1" s="279"/>
      <c r="C1" s="279"/>
      <c r="D1" s="279"/>
    </row>
    <row r="2" ht="21" customHeight="1" spans="1:4">
      <c r="A2" s="69"/>
      <c r="B2" s="69"/>
      <c r="C2" s="280"/>
      <c r="D2" s="39" t="s">
        <v>10</v>
      </c>
    </row>
    <row r="3" ht="21" customHeight="1" spans="1:4">
      <c r="A3" s="156" t="s">
        <v>1</v>
      </c>
      <c r="B3" s="281" t="s">
        <v>52</v>
      </c>
      <c r="C3" s="282" t="s">
        <v>53</v>
      </c>
      <c r="D3" s="283" t="s">
        <v>54</v>
      </c>
    </row>
    <row r="4" ht="21" customHeight="1" spans="1:4">
      <c r="A4" s="284" t="s">
        <v>55</v>
      </c>
      <c r="B4" s="284" t="s">
        <v>56</v>
      </c>
      <c r="C4" s="284" t="s">
        <v>57</v>
      </c>
      <c r="D4" s="284" t="s">
        <v>58</v>
      </c>
    </row>
    <row r="5" ht="21" customHeight="1" spans="1:4">
      <c r="A5" s="285"/>
      <c r="B5" s="285"/>
      <c r="C5" s="285"/>
      <c r="D5" s="285"/>
    </row>
    <row r="6" ht="21" customHeight="1" spans="1:4">
      <c r="A6" s="286" t="s">
        <v>59</v>
      </c>
      <c r="B6" s="151">
        <f>C6+D6</f>
        <v>729438479.09</v>
      </c>
      <c r="C6" s="169">
        <v>193057779.36</v>
      </c>
      <c r="D6" s="169">
        <v>536380699.73</v>
      </c>
    </row>
    <row r="7" ht="21" customHeight="1" spans="1:4">
      <c r="A7" s="286" t="s">
        <v>60</v>
      </c>
      <c r="B7" s="151">
        <f>C7+D7</f>
        <v>350392088.25</v>
      </c>
      <c r="C7" s="169">
        <v>166374808.25</v>
      </c>
      <c r="D7" s="169">
        <v>184017280</v>
      </c>
    </row>
    <row r="8" ht="21" customHeight="1" spans="1:4">
      <c r="A8" s="286" t="s">
        <v>61</v>
      </c>
      <c r="B8" s="151">
        <f>C8+D8</f>
        <v>2789525.72</v>
      </c>
      <c r="C8" s="169">
        <v>1209045.99</v>
      </c>
      <c r="D8" s="169">
        <v>1580479.73</v>
      </c>
    </row>
    <row r="9" ht="21" customHeight="1" spans="1:4">
      <c r="A9" s="286" t="s">
        <v>62</v>
      </c>
      <c r="B9" s="151">
        <f>C9+D9</f>
        <v>375583100</v>
      </c>
      <c r="C9" s="169">
        <v>24800160</v>
      </c>
      <c r="D9" s="169">
        <v>350782940</v>
      </c>
    </row>
    <row r="10" ht="21" customHeight="1" spans="1:4">
      <c r="A10" s="286" t="s">
        <v>63</v>
      </c>
      <c r="B10" s="151">
        <f>C10+D10</f>
        <v>0</v>
      </c>
      <c r="C10" s="169">
        <v>0</v>
      </c>
      <c r="D10" s="169">
        <v>0</v>
      </c>
    </row>
    <row r="11" ht="21" customHeight="1" spans="1:4">
      <c r="A11" s="286" t="s">
        <v>64</v>
      </c>
      <c r="B11" s="151">
        <f>C11</f>
        <v>673765.12</v>
      </c>
      <c r="C11" s="169">
        <v>673765.12</v>
      </c>
      <c r="D11" s="287" t="s">
        <v>65</v>
      </c>
    </row>
    <row r="12" ht="21" customHeight="1" spans="1:4">
      <c r="A12" s="286" t="s">
        <v>66</v>
      </c>
      <c r="B12" s="151">
        <f>C12+D12</f>
        <v>688161582.56</v>
      </c>
      <c r="C12" s="169">
        <v>156615263.33</v>
      </c>
      <c r="D12" s="169">
        <v>531546319.23</v>
      </c>
    </row>
    <row r="13" ht="21" customHeight="1" spans="1:4">
      <c r="A13" s="286" t="s">
        <v>67</v>
      </c>
      <c r="B13" s="151">
        <f>C13+D13</f>
        <v>663012396.53</v>
      </c>
      <c r="C13" s="169">
        <v>131466077.3</v>
      </c>
      <c r="D13" s="169">
        <v>531546319.23</v>
      </c>
    </row>
    <row r="14" ht="21" customHeight="1" spans="1:4">
      <c r="A14" s="286" t="s">
        <v>68</v>
      </c>
      <c r="B14" s="151">
        <f>C14+D14</f>
        <v>24800160</v>
      </c>
      <c r="C14" s="169">
        <v>24800160</v>
      </c>
      <c r="D14" s="169">
        <v>0</v>
      </c>
    </row>
    <row r="15" ht="21" customHeight="1" spans="1:4">
      <c r="A15" s="286" t="s">
        <v>69</v>
      </c>
      <c r="B15" s="151">
        <f>C15</f>
        <v>349026.03</v>
      </c>
      <c r="C15" s="169">
        <v>349026.03</v>
      </c>
      <c r="D15" s="287" t="s">
        <v>65</v>
      </c>
    </row>
    <row r="16" ht="21" customHeight="1" spans="1:4">
      <c r="A16" s="286" t="s">
        <v>70</v>
      </c>
      <c r="B16" s="151">
        <f>C16+D16</f>
        <v>41276896.53</v>
      </c>
      <c r="C16" s="169">
        <v>36442516.03</v>
      </c>
      <c r="D16" s="169">
        <v>4834380.5</v>
      </c>
    </row>
    <row r="17" ht="21" customHeight="1" spans="1:4">
      <c r="A17" s="286" t="s">
        <v>71</v>
      </c>
      <c r="B17" s="151">
        <f>C17+D17</f>
        <v>186360121.17</v>
      </c>
      <c r="C17" s="169">
        <v>89846331.57</v>
      </c>
      <c r="D17" s="169">
        <v>96513789.6</v>
      </c>
    </row>
    <row r="18" ht="13.5" customHeight="1" spans="1:4">
      <c r="A18" s="288"/>
      <c r="B18" s="288"/>
      <c r="C18" s="288"/>
      <c r="D18" s="288"/>
    </row>
  </sheetData>
  <mergeCells count="5">
    <mergeCell ref="A1:D1"/>
    <mergeCell ref="A4:A5"/>
    <mergeCell ref="B4:B5"/>
    <mergeCell ref="C4:C5"/>
    <mergeCell ref="D4:D5"/>
  </mergeCells>
  <pageMargins left="1.18110236220472" right="1.18110236220472" top="1.18110236220472" bottom="1.18110236220472" header="0.51181" footer="0.51181"/>
  <pageSetup paperSize="9" scale="85" orientation="portrait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zoomScalePageLayoutView="60" workbookViewId="0">
      <pane topLeftCell="B7" activePane="bottomRight" state="frozen"/>
      <selection activeCell="A1" sqref="A1:G1"/>
    </sheetView>
  </sheetViews>
  <sheetFormatPr defaultColWidth="8" defaultRowHeight="14.25" outlineLevelCol="6"/>
  <cols>
    <col min="1" max="1" width="27.675" style="1"/>
    <col min="2" max="7" width="17.2083333333333" style="1"/>
  </cols>
  <sheetData>
    <row r="1" ht="45.75" customHeight="1" spans="1:7">
      <c r="A1" s="118" t="s">
        <v>72</v>
      </c>
      <c r="B1" s="118"/>
      <c r="C1" s="118"/>
      <c r="D1" s="118"/>
      <c r="E1" s="118"/>
      <c r="F1" s="118"/>
      <c r="G1" s="118"/>
    </row>
    <row r="2" ht="15" customHeight="1" spans="1:7">
      <c r="A2" s="69"/>
      <c r="B2" s="69"/>
      <c r="C2" s="69"/>
      <c r="D2" s="69"/>
      <c r="E2" s="69"/>
      <c r="F2" s="69"/>
      <c r="G2" s="239" t="s">
        <v>73</v>
      </c>
    </row>
    <row r="3" ht="15" customHeight="1" spans="1:7">
      <c r="A3" s="24" t="s">
        <v>1</v>
      </c>
      <c r="B3" s="25" t="s">
        <v>52</v>
      </c>
      <c r="C3" s="26"/>
      <c r="D3" s="24" t="s">
        <v>53</v>
      </c>
      <c r="E3" s="24"/>
      <c r="F3" s="24"/>
      <c r="G3" s="267" t="s">
        <v>74</v>
      </c>
    </row>
    <row r="4" ht="15" customHeight="1" spans="1:7">
      <c r="A4" s="29" t="s">
        <v>55</v>
      </c>
      <c r="B4" s="29" t="s">
        <v>75</v>
      </c>
      <c r="C4" s="29"/>
      <c r="D4" s="29"/>
      <c r="E4" s="29" t="s">
        <v>76</v>
      </c>
      <c r="F4" s="29"/>
      <c r="G4" s="29"/>
    </row>
    <row r="5" ht="15" customHeight="1" spans="1:7">
      <c r="A5" s="29"/>
      <c r="B5" s="27" t="s">
        <v>77</v>
      </c>
      <c r="C5" s="27" t="s">
        <v>78</v>
      </c>
      <c r="D5" s="27" t="s">
        <v>79</v>
      </c>
      <c r="E5" s="27" t="s">
        <v>77</v>
      </c>
      <c r="F5" s="27" t="s">
        <v>78</v>
      </c>
      <c r="G5" s="27" t="s">
        <v>79</v>
      </c>
    </row>
    <row r="6" ht="15" customHeight="1" spans="1:7">
      <c r="A6" s="29"/>
      <c r="B6" s="27"/>
      <c r="C6" s="27"/>
      <c r="D6" s="27"/>
      <c r="E6" s="27"/>
      <c r="F6" s="27"/>
      <c r="G6" s="27"/>
    </row>
    <row r="7" ht="15" customHeight="1" spans="1:7">
      <c r="A7" s="123" t="s">
        <v>80</v>
      </c>
      <c r="B7" s="149">
        <v>158452198.33</v>
      </c>
      <c r="C7" s="166">
        <v>88733231.06</v>
      </c>
      <c r="D7" s="166">
        <v>69718967.27</v>
      </c>
      <c r="E7" s="149">
        <v>166374808.25</v>
      </c>
      <c r="F7" s="166">
        <v>93169892.62</v>
      </c>
      <c r="G7" s="166">
        <v>73204915.63</v>
      </c>
    </row>
    <row r="8" ht="15" customHeight="1" spans="1:7">
      <c r="A8" s="269" t="s">
        <v>81</v>
      </c>
      <c r="B8" s="151">
        <v>123240598.7</v>
      </c>
      <c r="C8" s="74">
        <v>88733231.06</v>
      </c>
      <c r="D8" s="74">
        <v>34507367.64</v>
      </c>
      <c r="E8" s="151">
        <v>129402628.64</v>
      </c>
      <c r="F8" s="74">
        <v>93169892.62</v>
      </c>
      <c r="G8" s="74">
        <v>36232736.02</v>
      </c>
    </row>
    <row r="9" ht="15" customHeight="1" spans="1:7">
      <c r="A9" s="270" t="s">
        <v>82</v>
      </c>
      <c r="B9" s="151">
        <v>35211599.63</v>
      </c>
      <c r="C9" s="74">
        <v>0</v>
      </c>
      <c r="D9" s="271">
        <v>35211599.63</v>
      </c>
      <c r="E9" s="151">
        <v>36972179.61</v>
      </c>
      <c r="F9" s="74">
        <v>0</v>
      </c>
      <c r="G9" s="271">
        <v>36972179.61</v>
      </c>
    </row>
    <row r="10" ht="15" customHeight="1" spans="1:7">
      <c r="A10" s="272" t="s">
        <v>83</v>
      </c>
      <c r="B10" s="152">
        <v>0</v>
      </c>
      <c r="C10" s="145">
        <v>0</v>
      </c>
      <c r="D10" s="273" t="s">
        <v>65</v>
      </c>
      <c r="E10" s="152">
        <v>24800160</v>
      </c>
      <c r="F10" s="145">
        <v>24800160</v>
      </c>
      <c r="G10" s="273" t="s">
        <v>65</v>
      </c>
    </row>
    <row r="11" ht="15" customHeight="1" spans="1:7">
      <c r="A11" s="123" t="s">
        <v>84</v>
      </c>
      <c r="B11" s="35">
        <v>567992.51</v>
      </c>
      <c r="C11" s="30">
        <v>347146.47</v>
      </c>
      <c r="D11" s="30">
        <v>220846.04</v>
      </c>
      <c r="E11" s="35">
        <v>1209045.99</v>
      </c>
      <c r="F11" s="30">
        <v>633595.89</v>
      </c>
      <c r="G11" s="30">
        <v>575450.1</v>
      </c>
    </row>
    <row r="12" ht="15" customHeight="1" spans="1:7">
      <c r="A12" s="123" t="s">
        <v>85</v>
      </c>
      <c r="B12" s="35">
        <v>585882.72</v>
      </c>
      <c r="C12" s="273" t="s">
        <v>65</v>
      </c>
      <c r="D12" s="30">
        <v>585882.72</v>
      </c>
      <c r="E12" s="35">
        <v>673765.12</v>
      </c>
      <c r="F12" s="273" t="s">
        <v>65</v>
      </c>
      <c r="G12" s="30">
        <v>673765.12</v>
      </c>
    </row>
    <row r="13" ht="15" customHeight="1" spans="1:7">
      <c r="A13" s="123" t="s">
        <v>86</v>
      </c>
      <c r="B13" s="35">
        <v>0</v>
      </c>
      <c r="C13" s="30">
        <v>0</v>
      </c>
      <c r="D13" s="30">
        <v>0</v>
      </c>
      <c r="E13" s="35">
        <v>0</v>
      </c>
      <c r="F13" s="30">
        <v>0</v>
      </c>
      <c r="G13" s="30">
        <v>0</v>
      </c>
    </row>
    <row r="14" ht="15" customHeight="1" spans="1:7">
      <c r="A14" s="123" t="s">
        <v>87</v>
      </c>
      <c r="B14" s="35">
        <v>0</v>
      </c>
      <c r="C14" s="30">
        <v>0</v>
      </c>
      <c r="D14" s="30">
        <v>0</v>
      </c>
      <c r="E14" s="35">
        <v>0</v>
      </c>
      <c r="F14" s="30">
        <v>0</v>
      </c>
      <c r="G14" s="30">
        <v>0</v>
      </c>
    </row>
    <row r="15" ht="15" customHeight="1" spans="1:7">
      <c r="A15" s="123" t="s">
        <v>88</v>
      </c>
      <c r="B15" s="35">
        <v>159606073.56</v>
      </c>
      <c r="C15" s="35">
        <v>89080377.53</v>
      </c>
      <c r="D15" s="35">
        <v>70525696.03</v>
      </c>
      <c r="E15" s="35">
        <v>193057779.36</v>
      </c>
      <c r="F15" s="35">
        <v>118603648.51</v>
      </c>
      <c r="G15" s="35">
        <v>74454130.85</v>
      </c>
    </row>
    <row r="16" ht="15" customHeight="1" spans="1:7">
      <c r="A16" s="123" t="s">
        <v>89</v>
      </c>
      <c r="B16" s="35">
        <v>57867040</v>
      </c>
      <c r="C16" s="30">
        <v>57867040</v>
      </c>
      <c r="D16" s="30">
        <v>0</v>
      </c>
      <c r="E16" s="35">
        <v>0</v>
      </c>
      <c r="F16" s="30">
        <v>0</v>
      </c>
      <c r="G16" s="30">
        <v>0</v>
      </c>
    </row>
    <row r="17" ht="15" customHeight="1" spans="1:7">
      <c r="A17" s="123" t="s">
        <v>90</v>
      </c>
      <c r="B17" s="35">
        <v>0</v>
      </c>
      <c r="C17" s="30">
        <v>0</v>
      </c>
      <c r="D17" s="30">
        <v>0</v>
      </c>
      <c r="E17" s="35">
        <v>0</v>
      </c>
      <c r="F17" s="30">
        <v>0</v>
      </c>
      <c r="G17" s="30">
        <v>0</v>
      </c>
    </row>
    <row r="18" ht="15" customHeight="1" spans="1:7">
      <c r="A18" s="123" t="s">
        <v>91</v>
      </c>
      <c r="B18" s="35">
        <v>217473113.56</v>
      </c>
      <c r="C18" s="35">
        <v>146947417.53</v>
      </c>
      <c r="D18" s="35">
        <v>70525696.03</v>
      </c>
      <c r="E18" s="35">
        <v>193057779.36</v>
      </c>
      <c r="F18" s="35">
        <v>118603648.51</v>
      </c>
      <c r="G18" s="35">
        <v>74454130.85</v>
      </c>
    </row>
    <row r="19" ht="15" customHeight="1" spans="1:7">
      <c r="A19" s="123" t="s">
        <v>92</v>
      </c>
      <c r="B19" s="35">
        <v>13895508.03</v>
      </c>
      <c r="C19" s="30">
        <v>11018977.91</v>
      </c>
      <c r="D19" s="30">
        <v>2876530.12</v>
      </c>
      <c r="E19" s="35">
        <v>53403815.54</v>
      </c>
      <c r="F19" s="35">
        <v>30070385.04</v>
      </c>
      <c r="G19" s="35">
        <v>23333430.5</v>
      </c>
    </row>
    <row r="20" ht="15" customHeight="1" spans="1:7">
      <c r="A20" s="29" t="s">
        <v>93</v>
      </c>
      <c r="B20" s="35">
        <v>231368621.59</v>
      </c>
      <c r="C20" s="35">
        <v>157966395.44</v>
      </c>
      <c r="D20" s="35">
        <v>73402226.15</v>
      </c>
      <c r="E20" s="35">
        <v>246461594.9</v>
      </c>
      <c r="F20" s="35">
        <v>148674033.55</v>
      </c>
      <c r="G20" s="35">
        <v>97787561.35</v>
      </c>
    </row>
    <row r="21" ht="15" customHeight="1" spans="1:7">
      <c r="A21" s="29" t="s">
        <v>55</v>
      </c>
      <c r="B21" s="27" t="s">
        <v>77</v>
      </c>
      <c r="C21" s="27" t="s">
        <v>78</v>
      </c>
      <c r="D21" s="27" t="s">
        <v>79</v>
      </c>
      <c r="E21" s="27" t="s">
        <v>77</v>
      </c>
      <c r="F21" s="27" t="s">
        <v>78</v>
      </c>
      <c r="G21" s="27" t="s">
        <v>79</v>
      </c>
    </row>
    <row r="22" ht="15" customHeight="1" spans="1:7">
      <c r="A22" s="27"/>
      <c r="B22" s="27"/>
      <c r="C22" s="27"/>
      <c r="D22" s="27"/>
      <c r="E22" s="27"/>
      <c r="F22" s="27"/>
      <c r="G22" s="27"/>
    </row>
    <row r="23" ht="15" customHeight="1" spans="1:7">
      <c r="A23" s="123" t="s">
        <v>94</v>
      </c>
      <c r="B23" s="35">
        <v>119794265.15</v>
      </c>
      <c r="C23" s="35">
        <v>70028970.4</v>
      </c>
      <c r="D23" s="35">
        <v>49765294.75</v>
      </c>
      <c r="E23" s="35">
        <v>131466077.3</v>
      </c>
      <c r="F23" s="35">
        <v>78944309.34</v>
      </c>
      <c r="G23" s="35">
        <v>52521767.96</v>
      </c>
    </row>
    <row r="24" ht="15" customHeight="1" spans="1:7">
      <c r="A24" s="123" t="s">
        <v>95</v>
      </c>
      <c r="B24" s="35">
        <v>61168934.15</v>
      </c>
      <c r="C24" s="31">
        <v>48385492.98</v>
      </c>
      <c r="D24" s="31">
        <v>12783441.17</v>
      </c>
      <c r="E24" s="35">
        <v>69001721.94</v>
      </c>
      <c r="F24" s="31">
        <v>54247896.6</v>
      </c>
      <c r="G24" s="31">
        <v>14753825.34</v>
      </c>
    </row>
    <row r="25" ht="15" customHeight="1" spans="1:7">
      <c r="A25" s="274" t="s">
        <v>96</v>
      </c>
      <c r="B25" s="35">
        <v>53620952.29</v>
      </c>
      <c r="C25" s="166">
        <v>16639098.71</v>
      </c>
      <c r="D25" s="166">
        <v>36981853.58</v>
      </c>
      <c r="E25" s="149">
        <v>56636954.87</v>
      </c>
      <c r="F25" s="166">
        <v>18869012.25</v>
      </c>
      <c r="G25" s="166">
        <v>37767942.62</v>
      </c>
    </row>
    <row r="26" ht="15" customHeight="1" spans="1:7">
      <c r="A26" s="275" t="s">
        <v>97</v>
      </c>
      <c r="B26" s="35">
        <v>1595898.21</v>
      </c>
      <c r="C26" s="172">
        <v>1595898.21</v>
      </c>
      <c r="D26" s="145">
        <v>0</v>
      </c>
      <c r="E26" s="276">
        <v>1791862.5</v>
      </c>
      <c r="F26" s="172">
        <v>1791862.5</v>
      </c>
      <c r="G26" s="277">
        <v>0</v>
      </c>
    </row>
    <row r="27" ht="15" customHeight="1" spans="1:7">
      <c r="A27" s="275" t="s">
        <v>98</v>
      </c>
      <c r="B27" s="149">
        <v>3408480.5</v>
      </c>
      <c r="C27" s="174">
        <v>3408480.5</v>
      </c>
      <c r="D27" s="131">
        <v>0</v>
      </c>
      <c r="E27" s="276">
        <v>4035537.99</v>
      </c>
      <c r="F27" s="174">
        <v>4035537.99</v>
      </c>
      <c r="G27" s="277">
        <v>0</v>
      </c>
    </row>
    <row r="28" ht="15" customHeight="1" spans="1:7">
      <c r="A28" s="272" t="s">
        <v>99</v>
      </c>
      <c r="B28" s="152">
        <v>303500.9</v>
      </c>
      <c r="C28" s="273" t="s">
        <v>65</v>
      </c>
      <c r="D28" s="145">
        <v>303500.9</v>
      </c>
      <c r="E28" s="152">
        <v>349026.03</v>
      </c>
      <c r="F28" s="273" t="s">
        <v>65</v>
      </c>
      <c r="G28" s="145">
        <v>349026.03</v>
      </c>
    </row>
    <row r="29" ht="15" customHeight="1" spans="1:7">
      <c r="A29" s="123" t="s">
        <v>100</v>
      </c>
      <c r="B29" s="35">
        <v>57867040</v>
      </c>
      <c r="C29" s="30">
        <v>57867040</v>
      </c>
      <c r="D29" s="30">
        <v>0</v>
      </c>
      <c r="E29" s="35">
        <v>24800160</v>
      </c>
      <c r="F29" s="30">
        <v>24800160</v>
      </c>
      <c r="G29" s="30">
        <v>0</v>
      </c>
    </row>
    <row r="30" ht="15" customHeight="1" spans="1:7">
      <c r="A30" s="123" t="s">
        <v>101</v>
      </c>
      <c r="B30" s="35">
        <v>177964806.05</v>
      </c>
      <c r="C30" s="35">
        <v>127896010.4</v>
      </c>
      <c r="D30" s="35">
        <v>50068795.65</v>
      </c>
      <c r="E30" s="35">
        <v>156615263.33</v>
      </c>
      <c r="F30" s="35">
        <v>103744469.34</v>
      </c>
      <c r="G30" s="35">
        <v>52870793.99</v>
      </c>
    </row>
    <row r="31" ht="15" customHeight="1" spans="1:7">
      <c r="A31" s="123" t="s">
        <v>102</v>
      </c>
      <c r="B31" s="35">
        <v>0</v>
      </c>
      <c r="C31" s="30">
        <v>0</v>
      </c>
      <c r="D31" s="30">
        <v>0</v>
      </c>
      <c r="E31" s="35">
        <v>0</v>
      </c>
      <c r="F31" s="30">
        <v>0</v>
      </c>
      <c r="G31" s="30">
        <v>0</v>
      </c>
    </row>
    <row r="32" ht="15" customHeight="1" spans="1:7">
      <c r="A32" s="123" t="s">
        <v>103</v>
      </c>
      <c r="B32" s="35">
        <v>0</v>
      </c>
      <c r="C32" s="30">
        <v>0</v>
      </c>
      <c r="D32" s="30">
        <v>0</v>
      </c>
      <c r="E32" s="35">
        <v>0</v>
      </c>
      <c r="F32" s="30">
        <v>0</v>
      </c>
      <c r="G32" s="30">
        <v>0</v>
      </c>
    </row>
    <row r="33" ht="15" customHeight="1" spans="1:7">
      <c r="A33" s="123" t="s">
        <v>104</v>
      </c>
      <c r="B33" s="35">
        <v>177964806.05</v>
      </c>
      <c r="C33" s="35">
        <v>127896010.4</v>
      </c>
      <c r="D33" s="35">
        <v>50068795.65</v>
      </c>
      <c r="E33" s="35">
        <v>156615263.33</v>
      </c>
      <c r="F33" s="35">
        <v>103744469.34</v>
      </c>
      <c r="G33" s="35">
        <v>52870793.99</v>
      </c>
    </row>
    <row r="34" ht="15" customHeight="1" spans="1:7">
      <c r="A34" s="123" t="s">
        <v>105</v>
      </c>
      <c r="B34" s="35">
        <v>39508307.51</v>
      </c>
      <c r="C34" s="35">
        <v>19051407.13</v>
      </c>
      <c r="D34" s="35">
        <v>20456900.38</v>
      </c>
      <c r="E34" s="35">
        <v>36442516.03</v>
      </c>
      <c r="F34" s="35">
        <v>14859179.17</v>
      </c>
      <c r="G34" s="35">
        <v>21583336.86</v>
      </c>
    </row>
    <row r="35" ht="15" customHeight="1" spans="1:7">
      <c r="A35" s="123" t="s">
        <v>106</v>
      </c>
      <c r="B35" s="35">
        <v>53403815.54</v>
      </c>
      <c r="C35" s="35">
        <v>30070385.04</v>
      </c>
      <c r="D35" s="35">
        <v>23333430.5</v>
      </c>
      <c r="E35" s="35">
        <v>89846331.57</v>
      </c>
      <c r="F35" s="35">
        <v>44929564.21</v>
      </c>
      <c r="G35" s="35">
        <v>44916767.36</v>
      </c>
    </row>
    <row r="36" ht="15" customHeight="1" spans="1:7">
      <c r="A36" s="29" t="s">
        <v>93</v>
      </c>
      <c r="B36" s="35">
        <v>231368621.59</v>
      </c>
      <c r="C36" s="35">
        <v>157966395.44</v>
      </c>
      <c r="D36" s="35">
        <v>73402226.15</v>
      </c>
      <c r="E36" s="35">
        <v>246461594.9</v>
      </c>
      <c r="F36" s="35">
        <v>148674033.55</v>
      </c>
      <c r="G36" s="35">
        <v>97787561.35</v>
      </c>
    </row>
  </sheetData>
  <mergeCells count="18">
    <mergeCell ref="A1:G1"/>
    <mergeCell ref="B3:C3"/>
    <mergeCell ref="B4:D4"/>
    <mergeCell ref="E4:G4"/>
    <mergeCell ref="A4:A6"/>
    <mergeCell ref="A21:A22"/>
    <mergeCell ref="B5:B6"/>
    <mergeCell ref="B21:B22"/>
    <mergeCell ref="C5:C6"/>
    <mergeCell ref="C21:C22"/>
    <mergeCell ref="D5:D6"/>
    <mergeCell ref="D21:D22"/>
    <mergeCell ref="E5:E6"/>
    <mergeCell ref="E21:E22"/>
    <mergeCell ref="F5:F6"/>
    <mergeCell ref="F21:F22"/>
    <mergeCell ref="G5:G6"/>
    <mergeCell ref="G21:G22"/>
  </mergeCells>
  <printOptions horizontalCentered="1"/>
  <pageMargins left="1.18110236220472" right="1.18110236220472" top="1.18110236220472" bottom="1.18110236220472" header="0.51181" footer="0.51181"/>
  <pageSetup paperSize="9" scale="74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showGridLines="0" zoomScalePageLayoutView="60" workbookViewId="0">
      <pane topLeftCell="F20" activePane="bottomRight" state="frozen"/>
      <selection activeCell="A1" sqref="A1:M1"/>
    </sheetView>
  </sheetViews>
  <sheetFormatPr defaultColWidth="8" defaultRowHeight="14.25"/>
  <cols>
    <col min="1" max="1" width="9.46666666666667" style="1"/>
    <col min="2" max="2" width="6.025" style="1"/>
    <col min="3" max="3" width="5.45" style="1"/>
    <col min="4" max="4" width="8.89166666666667" style="1"/>
    <col min="5" max="5" width="5.73333333333333" style="1"/>
    <col min="6" max="15" width="17.2083333333333" style="1"/>
    <col min="16" max="18" width="15.775" style="1"/>
    <col min="19" max="21" width="17.2083333333333" style="1"/>
  </cols>
  <sheetData>
    <row r="1" ht="44.25" customHeight="1" spans="1:21">
      <c r="A1" s="97" t="s">
        <v>107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266"/>
      <c r="O1" s="266"/>
      <c r="P1" s="266"/>
      <c r="Q1" s="266"/>
      <c r="R1" s="266"/>
      <c r="S1" s="266"/>
      <c r="T1" s="266"/>
      <c r="U1" s="266"/>
    </row>
    <row r="2" ht="15" customHeight="1" spans="1:2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239" t="s">
        <v>14</v>
      </c>
      <c r="N2" s="69"/>
      <c r="O2" s="69"/>
      <c r="P2" s="69"/>
      <c r="Q2" s="69"/>
      <c r="R2" s="69"/>
      <c r="S2" s="69"/>
      <c r="T2" s="69"/>
      <c r="U2" s="69"/>
    </row>
    <row r="3" ht="15" customHeight="1" spans="1:21">
      <c r="A3" s="24" t="s">
        <v>1</v>
      </c>
      <c r="B3" s="257"/>
      <c r="C3" s="257"/>
      <c r="D3" s="70" t="s">
        <v>52</v>
      </c>
      <c r="E3" s="258"/>
      <c r="F3" s="258"/>
      <c r="G3" s="258"/>
      <c r="H3" s="258"/>
      <c r="I3" s="24"/>
      <c r="J3" s="258"/>
      <c r="K3" s="258"/>
      <c r="L3" s="258"/>
      <c r="M3" s="267" t="s">
        <v>108</v>
      </c>
      <c r="N3" s="240"/>
      <c r="O3" s="240"/>
      <c r="P3" s="240"/>
      <c r="Q3" s="240"/>
      <c r="R3" s="240"/>
      <c r="S3" s="240"/>
      <c r="T3" s="240"/>
      <c r="U3" s="240"/>
    </row>
    <row r="4" ht="15" customHeight="1" spans="1:21">
      <c r="A4" s="27" t="s">
        <v>109</v>
      </c>
      <c r="B4" s="29"/>
      <c r="C4" s="29"/>
      <c r="D4" s="29"/>
      <c r="E4" s="27" t="s">
        <v>110</v>
      </c>
      <c r="F4" s="27" t="s">
        <v>111</v>
      </c>
      <c r="G4" s="27" t="s">
        <v>112</v>
      </c>
      <c r="H4" s="27"/>
      <c r="I4" s="27"/>
      <c r="J4" s="27"/>
      <c r="K4" s="27"/>
      <c r="L4" s="27"/>
      <c r="M4" s="27"/>
      <c r="N4" s="240"/>
      <c r="O4" s="240"/>
      <c r="P4" s="240"/>
      <c r="Q4" s="240"/>
      <c r="R4" s="240"/>
      <c r="S4" s="240"/>
      <c r="T4" s="240"/>
      <c r="U4" s="240"/>
    </row>
    <row r="5" ht="37.5" customHeight="1" spans="1:21">
      <c r="A5" s="29"/>
      <c r="B5" s="29"/>
      <c r="C5" s="29"/>
      <c r="D5" s="29"/>
      <c r="E5" s="29"/>
      <c r="F5" s="27"/>
      <c r="G5" s="27" t="s">
        <v>113</v>
      </c>
      <c r="H5" s="27" t="s">
        <v>114</v>
      </c>
      <c r="I5" s="27" t="s">
        <v>115</v>
      </c>
      <c r="J5" s="27" t="s">
        <v>116</v>
      </c>
      <c r="K5" s="27" t="s">
        <v>117</v>
      </c>
      <c r="L5" s="27" t="s">
        <v>118</v>
      </c>
      <c r="M5" s="27" t="s">
        <v>119</v>
      </c>
      <c r="N5" s="268"/>
      <c r="O5" s="268"/>
      <c r="P5" s="268"/>
      <c r="Q5" s="268"/>
      <c r="R5" s="268"/>
      <c r="S5" s="268"/>
      <c r="T5" s="268"/>
      <c r="U5" s="268"/>
    </row>
    <row r="6" ht="15" customHeight="1" spans="1:21">
      <c r="A6" s="27" t="s">
        <v>120</v>
      </c>
      <c r="B6" s="259" t="s">
        <v>56</v>
      </c>
      <c r="C6" s="260"/>
      <c r="D6" s="261"/>
      <c r="E6" s="261" t="s">
        <v>121</v>
      </c>
      <c r="F6" s="43">
        <f>F7+F9+F11+F13</f>
        <v>40532</v>
      </c>
      <c r="G6" s="43">
        <f>G7+G9+G11+G13</f>
        <v>43158</v>
      </c>
      <c r="H6" s="43">
        <f>H7+H9+H11+H13</f>
        <v>875</v>
      </c>
      <c r="I6" s="43">
        <f>ROUND(I7+I9+I11+I13,0)</f>
        <v>-667</v>
      </c>
      <c r="J6" s="43">
        <f>ROUND(J7+J9+J11+J13,0)</f>
        <v>208</v>
      </c>
      <c r="K6" s="43">
        <f>ROUND(K7+K9+K11+K13,0)</f>
        <v>43366</v>
      </c>
      <c r="L6" s="43">
        <f>ROUND(L7+L9+L11+L13,0)</f>
        <v>0</v>
      </c>
      <c r="M6" s="43">
        <f t="shared" ref="M6:M14" si="0">ROUND(K6-L6,0)</f>
        <v>43366</v>
      </c>
      <c r="N6" s="240"/>
      <c r="O6" s="240"/>
      <c r="P6" s="240"/>
      <c r="Q6" s="240"/>
      <c r="R6" s="240"/>
      <c r="S6" s="240"/>
      <c r="T6" s="240"/>
      <c r="U6" s="240"/>
    </row>
    <row r="7" ht="15" customHeight="1" spans="1:21">
      <c r="A7" s="27"/>
      <c r="B7" s="27" t="s">
        <v>122</v>
      </c>
      <c r="C7" s="27" t="s">
        <v>123</v>
      </c>
      <c r="D7" s="27" t="s">
        <v>124</v>
      </c>
      <c r="E7" s="261" t="s">
        <v>121</v>
      </c>
      <c r="F7" s="33">
        <v>28105</v>
      </c>
      <c r="G7" s="33">
        <v>30407</v>
      </c>
      <c r="H7" s="43">
        <f>ROUND((G7-F7)/3,0)</f>
        <v>767</v>
      </c>
      <c r="I7" s="33">
        <v>-667</v>
      </c>
      <c r="J7" s="43">
        <f>ROUND(H7+I7,0)</f>
        <v>100</v>
      </c>
      <c r="K7" s="43">
        <f>ROUND(G7+J7,0)</f>
        <v>30507</v>
      </c>
      <c r="L7" s="33">
        <v>0</v>
      </c>
      <c r="M7" s="43">
        <f t="shared" si="0"/>
        <v>30507</v>
      </c>
      <c r="N7" s="240"/>
      <c r="O7" s="240"/>
      <c r="P7" s="240"/>
      <c r="Q7" s="240"/>
      <c r="R7" s="240"/>
      <c r="S7" s="240"/>
      <c r="T7" s="240"/>
      <c r="U7" s="240"/>
    </row>
    <row r="8" ht="15" customHeight="1" spans="1:21">
      <c r="A8" s="27"/>
      <c r="B8" s="27"/>
      <c r="C8" s="27"/>
      <c r="D8" s="27" t="s">
        <v>125</v>
      </c>
      <c r="E8" s="261" t="s">
        <v>121</v>
      </c>
      <c r="F8" s="33">
        <v>27660</v>
      </c>
      <c r="G8" s="33">
        <v>29925</v>
      </c>
      <c r="H8" s="17" t="s">
        <v>65</v>
      </c>
      <c r="I8" s="17" t="s">
        <v>65</v>
      </c>
      <c r="J8" s="17" t="s">
        <v>65</v>
      </c>
      <c r="K8" s="43">
        <f>ROUND((K7+F7)/2,0)</f>
        <v>29306</v>
      </c>
      <c r="L8" s="33">
        <v>0</v>
      </c>
      <c r="M8" s="43">
        <f t="shared" si="0"/>
        <v>29306</v>
      </c>
      <c r="N8" s="240"/>
      <c r="O8" s="240"/>
      <c r="P8" s="240"/>
      <c r="Q8" s="240"/>
      <c r="R8" s="240"/>
      <c r="S8" s="240"/>
      <c r="T8" s="240"/>
      <c r="U8" s="240"/>
    </row>
    <row r="9" ht="15" customHeight="1" spans="1:21">
      <c r="A9" s="27"/>
      <c r="B9" s="27"/>
      <c r="C9" s="27" t="s">
        <v>126</v>
      </c>
      <c r="D9" s="27" t="s">
        <v>124</v>
      </c>
      <c r="E9" s="261" t="s">
        <v>121</v>
      </c>
      <c r="F9" s="33">
        <v>12427</v>
      </c>
      <c r="G9" s="33">
        <v>12751</v>
      </c>
      <c r="H9" s="43">
        <f>ROUND((G9-F9)/3,0)</f>
        <v>108</v>
      </c>
      <c r="I9" s="33">
        <v>0</v>
      </c>
      <c r="J9" s="43">
        <f>ROUND(H9+I9,0)</f>
        <v>108</v>
      </c>
      <c r="K9" s="43">
        <f>ROUND(G9+J9,0)</f>
        <v>12859</v>
      </c>
      <c r="L9" s="33">
        <v>0</v>
      </c>
      <c r="M9" s="43">
        <f t="shared" si="0"/>
        <v>12859</v>
      </c>
      <c r="N9" s="240"/>
      <c r="O9" s="240"/>
      <c r="P9" s="240"/>
      <c r="Q9" s="240"/>
      <c r="R9" s="240"/>
      <c r="S9" s="240"/>
      <c r="T9" s="240"/>
      <c r="U9" s="240"/>
    </row>
    <row r="10" ht="15" customHeight="1" spans="1:21">
      <c r="A10" s="27"/>
      <c r="B10" s="27"/>
      <c r="C10" s="27"/>
      <c r="D10" s="27" t="s">
        <v>125</v>
      </c>
      <c r="E10" s="261" t="s">
        <v>121</v>
      </c>
      <c r="F10" s="33">
        <v>12357</v>
      </c>
      <c r="G10" s="33">
        <v>12679</v>
      </c>
      <c r="H10" s="17" t="s">
        <v>65</v>
      </c>
      <c r="I10" s="17" t="s">
        <v>65</v>
      </c>
      <c r="J10" s="17" t="s">
        <v>65</v>
      </c>
      <c r="K10" s="43">
        <f>ROUND((K9+F9)/2,0)</f>
        <v>12643</v>
      </c>
      <c r="L10" s="33">
        <v>0</v>
      </c>
      <c r="M10" s="43">
        <f t="shared" si="0"/>
        <v>12643</v>
      </c>
      <c r="N10" s="240"/>
      <c r="O10" s="240"/>
      <c r="P10" s="240"/>
      <c r="Q10" s="240"/>
      <c r="R10" s="240"/>
      <c r="S10" s="240"/>
      <c r="T10" s="240"/>
      <c r="U10" s="240"/>
    </row>
    <row r="11" ht="15" customHeight="1" spans="1:21">
      <c r="A11" s="27"/>
      <c r="B11" s="27" t="s">
        <v>127</v>
      </c>
      <c r="C11" s="27" t="s">
        <v>123</v>
      </c>
      <c r="D11" s="27" t="s">
        <v>124</v>
      </c>
      <c r="E11" s="261" t="s">
        <v>121</v>
      </c>
      <c r="F11" s="33">
        <v>0</v>
      </c>
      <c r="G11" s="33">
        <v>0</v>
      </c>
      <c r="H11" s="43">
        <f>ROUND((G11-F11)/3,0)</f>
        <v>0</v>
      </c>
      <c r="I11" s="33">
        <v>0</v>
      </c>
      <c r="J11" s="43">
        <f>ROUND(H11+I11,0)</f>
        <v>0</v>
      </c>
      <c r="K11" s="43">
        <f>ROUND(G11+J11,0)</f>
        <v>0</v>
      </c>
      <c r="L11" s="33">
        <v>0</v>
      </c>
      <c r="M11" s="43">
        <f t="shared" si="0"/>
        <v>0</v>
      </c>
      <c r="N11" s="240"/>
      <c r="O11" s="240"/>
      <c r="P11" s="240"/>
      <c r="Q11" s="240"/>
      <c r="R11" s="240"/>
      <c r="S11" s="240"/>
      <c r="T11" s="240"/>
      <c r="U11" s="240"/>
    </row>
    <row r="12" ht="15" customHeight="1" spans="1:21">
      <c r="A12" s="27"/>
      <c r="B12" s="27"/>
      <c r="C12" s="27"/>
      <c r="D12" s="27" t="s">
        <v>125</v>
      </c>
      <c r="E12" s="261" t="s">
        <v>121</v>
      </c>
      <c r="F12" s="33">
        <v>0</v>
      </c>
      <c r="G12" s="33">
        <v>0</v>
      </c>
      <c r="H12" s="17" t="s">
        <v>65</v>
      </c>
      <c r="I12" s="17" t="s">
        <v>65</v>
      </c>
      <c r="J12" s="17" t="s">
        <v>65</v>
      </c>
      <c r="K12" s="43">
        <f>ROUND((K11+F11)/2,0)</f>
        <v>0</v>
      </c>
      <c r="L12" s="33">
        <v>0</v>
      </c>
      <c r="M12" s="43">
        <f t="shared" si="0"/>
        <v>0</v>
      </c>
      <c r="N12" s="240"/>
      <c r="O12" s="240"/>
      <c r="P12" s="240"/>
      <c r="Q12" s="240"/>
      <c r="R12" s="240"/>
      <c r="S12" s="240"/>
      <c r="T12" s="240"/>
      <c r="U12" s="240"/>
    </row>
    <row r="13" ht="15" customHeight="1" spans="1:21">
      <c r="A13" s="27"/>
      <c r="B13" s="27"/>
      <c r="C13" s="27" t="s">
        <v>126</v>
      </c>
      <c r="D13" s="27" t="s">
        <v>124</v>
      </c>
      <c r="E13" s="261" t="s">
        <v>121</v>
      </c>
      <c r="F13" s="33">
        <v>0</v>
      </c>
      <c r="G13" s="33">
        <v>0</v>
      </c>
      <c r="H13" s="43">
        <f>ROUND((G13-F13)/3,0)</f>
        <v>0</v>
      </c>
      <c r="I13" s="33">
        <v>0</v>
      </c>
      <c r="J13" s="43">
        <f>ROUND(H13+I13,0)</f>
        <v>0</v>
      </c>
      <c r="K13" s="43">
        <f>ROUND(G13+J13,0)</f>
        <v>0</v>
      </c>
      <c r="L13" s="33">
        <v>0</v>
      </c>
      <c r="M13" s="43">
        <f t="shared" si="0"/>
        <v>0</v>
      </c>
      <c r="N13" s="240"/>
      <c r="O13" s="240"/>
      <c r="P13" s="240"/>
      <c r="Q13" s="240"/>
      <c r="R13" s="240"/>
      <c r="S13" s="240"/>
      <c r="T13" s="240"/>
      <c r="U13" s="240"/>
    </row>
    <row r="14" ht="15" customHeight="1" spans="1:21">
      <c r="A14" s="27"/>
      <c r="B14" s="27"/>
      <c r="C14" s="27"/>
      <c r="D14" s="27" t="s">
        <v>125</v>
      </c>
      <c r="E14" s="261" t="s">
        <v>121</v>
      </c>
      <c r="F14" s="33">
        <v>0</v>
      </c>
      <c r="G14" s="33">
        <v>0</v>
      </c>
      <c r="H14" s="17" t="s">
        <v>65</v>
      </c>
      <c r="I14" s="17" t="s">
        <v>65</v>
      </c>
      <c r="J14" s="17" t="s">
        <v>65</v>
      </c>
      <c r="K14" s="43">
        <f>ROUND((K13+F13)/2,0)</f>
        <v>0</v>
      </c>
      <c r="L14" s="33">
        <v>0</v>
      </c>
      <c r="M14" s="43">
        <f t="shared" si="0"/>
        <v>0</v>
      </c>
      <c r="N14" s="240"/>
      <c r="O14" s="240"/>
      <c r="P14" s="240"/>
      <c r="Q14" s="240"/>
      <c r="R14" s="240"/>
      <c r="S14" s="240"/>
      <c r="T14" s="240"/>
      <c r="U14" s="240"/>
    </row>
    <row r="15" ht="15" customHeight="1" spans="1:21">
      <c r="A15" s="27" t="s">
        <v>128</v>
      </c>
      <c r="B15" s="27" t="s">
        <v>56</v>
      </c>
      <c r="C15" s="27"/>
      <c r="D15" s="27"/>
      <c r="E15" s="261" t="s">
        <v>121</v>
      </c>
      <c r="F15" s="43">
        <f>F16+F18</f>
        <v>28105</v>
      </c>
      <c r="G15" s="43">
        <f>G16+G18</f>
        <v>30407</v>
      </c>
      <c r="H15" s="43">
        <f t="shared" ref="H15:M15" si="1">ROUND(H16+H18,0)</f>
        <v>767</v>
      </c>
      <c r="I15" s="43">
        <f t="shared" si="1"/>
        <v>-667</v>
      </c>
      <c r="J15" s="43">
        <f t="shared" si="1"/>
        <v>100</v>
      </c>
      <c r="K15" s="43">
        <f t="shared" si="1"/>
        <v>30507</v>
      </c>
      <c r="L15" s="43">
        <f t="shared" si="1"/>
        <v>0</v>
      </c>
      <c r="M15" s="43">
        <f t="shared" si="1"/>
        <v>30507</v>
      </c>
      <c r="N15" s="240"/>
      <c r="O15" s="240"/>
      <c r="P15" s="240"/>
      <c r="Q15" s="240"/>
      <c r="R15" s="240"/>
      <c r="S15" s="240"/>
      <c r="T15" s="240"/>
      <c r="U15" s="240"/>
    </row>
    <row r="16" ht="15" customHeight="1" spans="1:21">
      <c r="A16" s="27"/>
      <c r="B16" s="27" t="s">
        <v>122</v>
      </c>
      <c r="C16" s="27"/>
      <c r="D16" s="27" t="s">
        <v>124</v>
      </c>
      <c r="E16" s="261" t="s">
        <v>121</v>
      </c>
      <c r="F16" s="33">
        <v>28105</v>
      </c>
      <c r="G16" s="33">
        <v>30407</v>
      </c>
      <c r="H16" s="43">
        <f>ROUND((G16-F16)/3,0)</f>
        <v>767</v>
      </c>
      <c r="I16" s="33">
        <v>-667</v>
      </c>
      <c r="J16" s="43">
        <f>ROUND(H16+I16,0)</f>
        <v>100</v>
      </c>
      <c r="K16" s="43">
        <f>ROUND(G16+J16,0)</f>
        <v>30507</v>
      </c>
      <c r="L16" s="33">
        <v>0</v>
      </c>
      <c r="M16" s="43">
        <f>ROUND(K16-L16,0)</f>
        <v>30507</v>
      </c>
      <c r="N16" s="240"/>
      <c r="O16" s="240"/>
      <c r="P16" s="240"/>
      <c r="Q16" s="240"/>
      <c r="R16" s="240"/>
      <c r="S16" s="240"/>
      <c r="T16" s="240"/>
      <c r="U16" s="240"/>
    </row>
    <row r="17" ht="15" customHeight="1" spans="1:21">
      <c r="A17" s="27"/>
      <c r="B17" s="27"/>
      <c r="C17" s="27"/>
      <c r="D17" s="27" t="s">
        <v>125</v>
      </c>
      <c r="E17" s="261" t="s">
        <v>121</v>
      </c>
      <c r="F17" s="33">
        <v>27660</v>
      </c>
      <c r="G17" s="33">
        <v>29925</v>
      </c>
      <c r="H17" s="17" t="s">
        <v>65</v>
      </c>
      <c r="I17" s="17" t="s">
        <v>65</v>
      </c>
      <c r="J17" s="17" t="s">
        <v>65</v>
      </c>
      <c r="K17" s="43">
        <f>ROUND((K16+F16)/2,0)</f>
        <v>29306</v>
      </c>
      <c r="L17" s="33">
        <v>0</v>
      </c>
      <c r="M17" s="43">
        <f>ROUND(K17-L17,0)</f>
        <v>29306</v>
      </c>
      <c r="N17" s="240"/>
      <c r="O17" s="240"/>
      <c r="P17" s="240"/>
      <c r="Q17" s="240"/>
      <c r="R17" s="240"/>
      <c r="S17" s="240"/>
      <c r="T17" s="240"/>
      <c r="U17" s="240"/>
    </row>
    <row r="18" ht="15" customHeight="1" spans="1:21">
      <c r="A18" s="27"/>
      <c r="B18" s="27" t="s">
        <v>127</v>
      </c>
      <c r="C18" s="27"/>
      <c r="D18" s="27" t="s">
        <v>124</v>
      </c>
      <c r="E18" s="261" t="s">
        <v>121</v>
      </c>
      <c r="F18" s="33">
        <v>0</v>
      </c>
      <c r="G18" s="33">
        <v>0</v>
      </c>
      <c r="H18" s="43">
        <f>ROUND((G18-F18)/3,0)</f>
        <v>0</v>
      </c>
      <c r="I18" s="33">
        <v>0</v>
      </c>
      <c r="J18" s="43">
        <f>ROUND(H18+I18,0)</f>
        <v>0</v>
      </c>
      <c r="K18" s="43">
        <f>ROUND(G18+J18,0)</f>
        <v>0</v>
      </c>
      <c r="L18" s="33">
        <v>0</v>
      </c>
      <c r="M18" s="43">
        <f>ROUND(K18-L18,0)</f>
        <v>0</v>
      </c>
      <c r="N18" s="240"/>
      <c r="O18" s="240"/>
      <c r="P18" s="240"/>
      <c r="Q18" s="240"/>
      <c r="R18" s="240"/>
      <c r="S18" s="240"/>
      <c r="T18" s="240"/>
      <c r="U18" s="240"/>
    </row>
    <row r="19" ht="15" customHeight="1" spans="1:21">
      <c r="A19" s="27"/>
      <c r="B19" s="27"/>
      <c r="C19" s="27"/>
      <c r="D19" s="27" t="s">
        <v>125</v>
      </c>
      <c r="E19" s="261" t="s">
        <v>121</v>
      </c>
      <c r="F19" s="33">
        <v>0</v>
      </c>
      <c r="G19" s="33">
        <v>0</v>
      </c>
      <c r="H19" s="17" t="s">
        <v>65</v>
      </c>
      <c r="I19" s="17" t="s">
        <v>65</v>
      </c>
      <c r="J19" s="17" t="s">
        <v>65</v>
      </c>
      <c r="K19" s="43">
        <f>ROUND((K18+F18)/2,0)</f>
        <v>0</v>
      </c>
      <c r="L19" s="33">
        <v>0</v>
      </c>
      <c r="M19" s="43">
        <f>ROUND(K19-L19,0)</f>
        <v>0</v>
      </c>
      <c r="N19" s="240"/>
      <c r="O19" s="240"/>
      <c r="P19" s="240"/>
      <c r="Q19" s="240"/>
      <c r="R19" s="240"/>
      <c r="S19" s="240"/>
      <c r="T19" s="240"/>
      <c r="U19" s="240"/>
    </row>
    <row r="20" ht="15" customHeight="1" spans="1:21">
      <c r="A20" s="27" t="s">
        <v>129</v>
      </c>
      <c r="B20" s="27" t="s">
        <v>122</v>
      </c>
      <c r="C20" s="27"/>
      <c r="D20" s="27" t="s">
        <v>124</v>
      </c>
      <c r="E20" s="27" t="s">
        <v>130</v>
      </c>
      <c r="F20" s="32">
        <f>IF(F7+F9=0,0,ROUND(F16/(F7+F9),10))</f>
        <v>0.6934027435</v>
      </c>
      <c r="G20" s="32">
        <f>IF(G7+G9=0,0,ROUND(G16/(G7+G9),10))</f>
        <v>0.7045507206</v>
      </c>
      <c r="H20" s="262" t="s">
        <v>65</v>
      </c>
      <c r="I20" s="262" t="s">
        <v>65</v>
      </c>
      <c r="J20" s="262" t="s">
        <v>65</v>
      </c>
      <c r="K20" s="32">
        <f>IF(K7+K9=0,0,ROUND(K16/(K7+K9),10))</f>
        <v>0.7034773786</v>
      </c>
      <c r="L20" s="262" t="s">
        <v>65</v>
      </c>
      <c r="M20" s="262" t="s">
        <v>65</v>
      </c>
      <c r="N20" s="240"/>
      <c r="O20" s="240"/>
      <c r="P20" s="240"/>
      <c r="Q20" s="240"/>
      <c r="R20" s="240"/>
      <c r="S20" s="240"/>
      <c r="T20" s="240"/>
      <c r="U20" s="240"/>
    </row>
    <row r="21" ht="15" customHeight="1" spans="1:21">
      <c r="A21" s="27"/>
      <c r="B21" s="27" t="s">
        <v>127</v>
      </c>
      <c r="C21" s="27"/>
      <c r="D21" s="27" t="s">
        <v>124</v>
      </c>
      <c r="E21" s="27" t="s">
        <v>130</v>
      </c>
      <c r="F21" s="32">
        <f>IF(F11+F13=0,0,ROUND(F18/(F11+F13),10))</f>
        <v>0</v>
      </c>
      <c r="G21" s="32">
        <f>IF(G11+G13=0,0,ROUND(G18/(G11+G13),10))</f>
        <v>0</v>
      </c>
      <c r="H21" s="262" t="s">
        <v>65</v>
      </c>
      <c r="I21" s="262" t="s">
        <v>65</v>
      </c>
      <c r="J21" s="262" t="s">
        <v>65</v>
      </c>
      <c r="K21" s="32">
        <f>IF(K11+K13=0,0,ROUND(K18/(K11+K13),10))</f>
        <v>0</v>
      </c>
      <c r="L21" s="262" t="s">
        <v>65</v>
      </c>
      <c r="M21" s="262" t="s">
        <v>65</v>
      </c>
      <c r="N21" s="240"/>
      <c r="O21" s="240"/>
      <c r="P21" s="240"/>
      <c r="Q21" s="240"/>
      <c r="R21" s="240"/>
      <c r="S21" s="240"/>
      <c r="T21" s="240"/>
      <c r="U21" s="240"/>
    </row>
    <row r="22" ht="15" customHeight="1" spans="1:21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</row>
    <row r="23" ht="24" customHeight="1" spans="1:21">
      <c r="A23" s="97" t="s">
        <v>131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</row>
    <row r="24" ht="15" customHeight="1" spans="1:21">
      <c r="A24" s="26"/>
      <c r="B24" s="258"/>
      <c r="C24" s="26"/>
      <c r="D24" s="258"/>
      <c r="E24" s="258"/>
      <c r="F24" s="258"/>
      <c r="G24" s="258"/>
      <c r="H24" s="258"/>
      <c r="I24" s="258"/>
      <c r="J24" s="258"/>
      <c r="K24" s="258"/>
      <c r="L24" s="24"/>
      <c r="M24" s="258"/>
      <c r="N24" s="258"/>
      <c r="O24" s="258"/>
      <c r="P24" s="258"/>
      <c r="Q24" s="258"/>
      <c r="R24" s="258"/>
      <c r="S24" s="258"/>
      <c r="T24" s="258"/>
      <c r="U24" s="258" t="s">
        <v>74</v>
      </c>
    </row>
    <row r="25" ht="15" customHeight="1" spans="1:21">
      <c r="A25" s="29" t="s">
        <v>109</v>
      </c>
      <c r="B25" s="29"/>
      <c r="C25" s="29"/>
      <c r="D25" s="29"/>
      <c r="E25" s="29" t="s">
        <v>110</v>
      </c>
      <c r="F25" s="29" t="s">
        <v>132</v>
      </c>
      <c r="G25" s="29"/>
      <c r="H25" s="29"/>
      <c r="I25" s="29" t="s">
        <v>133</v>
      </c>
      <c r="J25" s="29"/>
      <c r="K25" s="29"/>
      <c r="L25" s="29" t="s">
        <v>134</v>
      </c>
      <c r="M25" s="29"/>
      <c r="N25" s="29"/>
      <c r="O25" s="29" t="s">
        <v>112</v>
      </c>
      <c r="P25" s="29"/>
      <c r="Q25" s="29"/>
      <c r="R25" s="29"/>
      <c r="S25" s="29"/>
      <c r="T25" s="29"/>
      <c r="U25" s="29"/>
    </row>
    <row r="26" ht="37.5" customHeight="1" spans="1:21">
      <c r="A26" s="29"/>
      <c r="B26" s="29"/>
      <c r="C26" s="29"/>
      <c r="D26" s="29"/>
      <c r="E26" s="29"/>
      <c r="F26" s="27" t="s">
        <v>135</v>
      </c>
      <c r="G26" s="27" t="s">
        <v>136</v>
      </c>
      <c r="H26" s="27" t="s">
        <v>137</v>
      </c>
      <c r="I26" s="27" t="s">
        <v>135</v>
      </c>
      <c r="J26" s="27" t="s">
        <v>136</v>
      </c>
      <c r="K26" s="27" t="s">
        <v>137</v>
      </c>
      <c r="L26" s="27" t="s">
        <v>135</v>
      </c>
      <c r="M26" s="27" t="s">
        <v>136</v>
      </c>
      <c r="N26" s="27" t="s">
        <v>137</v>
      </c>
      <c r="O26" s="27" t="s">
        <v>135</v>
      </c>
      <c r="P26" s="27" t="s">
        <v>138</v>
      </c>
      <c r="Q26" s="27" t="s">
        <v>115</v>
      </c>
      <c r="R26" s="27" t="s">
        <v>139</v>
      </c>
      <c r="S26" s="27" t="s">
        <v>117</v>
      </c>
      <c r="T26" s="27" t="s">
        <v>118</v>
      </c>
      <c r="U26" s="27" t="s">
        <v>119</v>
      </c>
    </row>
    <row r="27" ht="15" customHeight="1" spans="1:21">
      <c r="A27" s="27" t="s">
        <v>140</v>
      </c>
      <c r="B27" s="29" t="s">
        <v>141</v>
      </c>
      <c r="C27" s="27"/>
      <c r="D27" s="27"/>
      <c r="E27" s="10" t="s">
        <v>65</v>
      </c>
      <c r="F27" s="10" t="s">
        <v>65</v>
      </c>
      <c r="G27" s="10" t="s">
        <v>65</v>
      </c>
      <c r="H27" s="10" t="s">
        <v>65</v>
      </c>
      <c r="I27" s="10" t="s">
        <v>65</v>
      </c>
      <c r="J27" s="10" t="s">
        <v>65</v>
      </c>
      <c r="K27" s="10" t="s">
        <v>65</v>
      </c>
      <c r="L27" s="10" t="s">
        <v>65</v>
      </c>
      <c r="M27" s="10" t="s">
        <v>65</v>
      </c>
      <c r="N27" s="10" t="s">
        <v>65</v>
      </c>
      <c r="O27" s="10" t="s">
        <v>65</v>
      </c>
      <c r="P27" s="10" t="s">
        <v>65</v>
      </c>
      <c r="Q27" s="10" t="s">
        <v>65</v>
      </c>
      <c r="R27" s="10" t="s">
        <v>65</v>
      </c>
      <c r="S27" s="10" t="s">
        <v>65</v>
      </c>
      <c r="T27" s="10" t="s">
        <v>65</v>
      </c>
      <c r="U27" s="10" t="s">
        <v>65</v>
      </c>
    </row>
    <row r="28" ht="15" customHeight="1" spans="1:21">
      <c r="A28" s="27"/>
      <c r="B28" s="263" t="s">
        <v>142</v>
      </c>
      <c r="C28" s="264"/>
      <c r="D28" s="265"/>
      <c r="E28" s="29" t="s">
        <v>143</v>
      </c>
      <c r="F28" s="30">
        <v>950509550</v>
      </c>
      <c r="G28" s="30">
        <v>1442591496</v>
      </c>
      <c r="H28" s="32">
        <f>IF(G28=0,0,ROUND(F28/G28,10))</f>
        <v>0.6588903045</v>
      </c>
      <c r="I28" s="30">
        <v>1094017444.2</v>
      </c>
      <c r="J28" s="30">
        <v>1373799528.55</v>
      </c>
      <c r="K28" s="32">
        <f>IF(J28=0,0,ROUND(I28/J28,10))</f>
        <v>0.7963443148</v>
      </c>
      <c r="L28" s="30">
        <v>1138790079</v>
      </c>
      <c r="M28" s="30">
        <v>1681241100</v>
      </c>
      <c r="N28" s="32">
        <f>IF(M28=0,0,ROUND(L28/M28,10))</f>
        <v>0.6773508446</v>
      </c>
      <c r="O28" s="30">
        <v>1269134892</v>
      </c>
      <c r="P28" s="32">
        <f>ROUND((H28+K28+N28)/3,10)</f>
        <v>0.7108618213</v>
      </c>
      <c r="Q28" s="148">
        <v>0.01</v>
      </c>
      <c r="R28" s="32">
        <f>P28+Q28</f>
        <v>0.7208618213</v>
      </c>
      <c r="S28" s="35">
        <f>IF(R28=0,0,ROUND(O28/R28,2))</f>
        <v>1760579981.49</v>
      </c>
      <c r="T28" s="30">
        <v>1760579981.49</v>
      </c>
      <c r="U28" s="35">
        <f>S28-T28</f>
        <v>0</v>
      </c>
    </row>
    <row r="29" ht="15" customHeight="1" spans="1:21">
      <c r="A29" s="27"/>
      <c r="B29" s="29" t="s">
        <v>144</v>
      </c>
      <c r="C29" s="29"/>
      <c r="D29" s="29"/>
      <c r="E29" s="29" t="s">
        <v>143</v>
      </c>
      <c r="F29" s="30">
        <v>950509550</v>
      </c>
      <c r="G29" s="30">
        <v>1442591496</v>
      </c>
      <c r="H29" s="32">
        <f>IF(G29=0,0,ROUND(F29/G29,10))</f>
        <v>0.6588903045</v>
      </c>
      <c r="I29" s="30">
        <v>1094017444.2</v>
      </c>
      <c r="J29" s="30">
        <v>1373799528.55</v>
      </c>
      <c r="K29" s="32">
        <f>IF(J29=0,0,ROUND(I29/J29,10))</f>
        <v>0.7963443148</v>
      </c>
      <c r="L29" s="30">
        <v>1138790079</v>
      </c>
      <c r="M29" s="30">
        <v>1681241100</v>
      </c>
      <c r="N29" s="32">
        <f>IF(M29=0,0,ROUND(L29/M29,10))</f>
        <v>0.6773508446</v>
      </c>
      <c r="O29" s="30">
        <v>1269134892</v>
      </c>
      <c r="P29" s="32">
        <f>ROUND((H29+K29+N29)/3,10)</f>
        <v>0.7108618213</v>
      </c>
      <c r="Q29" s="148">
        <v>0.01</v>
      </c>
      <c r="R29" s="32">
        <f>P29+Q29</f>
        <v>0.7208618213</v>
      </c>
      <c r="S29" s="35">
        <f>IF(R29=0,0,ROUND(O29/R29,2))</f>
        <v>1760579981.49</v>
      </c>
      <c r="T29" s="30">
        <v>1760579981.49</v>
      </c>
      <c r="U29" s="35">
        <f>S29-T29</f>
        <v>0</v>
      </c>
    </row>
    <row r="30" ht="15" customHeight="1" spans="1:21">
      <c r="A30" s="27"/>
      <c r="B30" s="29" t="s">
        <v>145</v>
      </c>
      <c r="C30" s="27"/>
      <c r="D30" s="27"/>
      <c r="E30" s="29" t="s">
        <v>143</v>
      </c>
      <c r="F30" s="30">
        <v>0</v>
      </c>
      <c r="G30" s="30">
        <v>0</v>
      </c>
      <c r="H30" s="32">
        <f>IF(G30=0,0,ROUND(F30/G30,10))</f>
        <v>0</v>
      </c>
      <c r="I30" s="30">
        <v>0</v>
      </c>
      <c r="J30" s="30">
        <v>0</v>
      </c>
      <c r="K30" s="32">
        <f>IF(J30=0,0,ROUND(I30/J30,10))</f>
        <v>0</v>
      </c>
      <c r="L30" s="30">
        <v>0</v>
      </c>
      <c r="M30" s="30">
        <v>0</v>
      </c>
      <c r="N30" s="32">
        <f>IF(M30=0,0,ROUND(L30/M30,10))</f>
        <v>0</v>
      </c>
      <c r="O30" s="30">
        <v>0</v>
      </c>
      <c r="P30" s="32">
        <f>ROUND((H30+K30+N30)/3,10)</f>
        <v>0</v>
      </c>
      <c r="Q30" s="148">
        <v>0</v>
      </c>
      <c r="R30" s="32">
        <f>P30+Q30</f>
        <v>0</v>
      </c>
      <c r="S30" s="35">
        <f>IF(R30=0,0,ROUND(O30/R30,2))</f>
        <v>0</v>
      </c>
      <c r="T30" s="30">
        <v>0</v>
      </c>
      <c r="U30" s="35">
        <f>S30-T30</f>
        <v>0</v>
      </c>
    </row>
  </sheetData>
  <mergeCells count="35">
    <mergeCell ref="A1:M1"/>
    <mergeCell ref="A3:C3"/>
    <mergeCell ref="D3:G3"/>
    <mergeCell ref="G4:M4"/>
    <mergeCell ref="B6:D6"/>
    <mergeCell ref="B15:D15"/>
    <mergeCell ref="B20:C20"/>
    <mergeCell ref="B21:C21"/>
    <mergeCell ref="A23:U23"/>
    <mergeCell ref="A24:C24"/>
    <mergeCell ref="F25:H25"/>
    <mergeCell ref="I25:K25"/>
    <mergeCell ref="L25:N25"/>
    <mergeCell ref="O25:U25"/>
    <mergeCell ref="B27:D27"/>
    <mergeCell ref="B28:D28"/>
    <mergeCell ref="B29:D29"/>
    <mergeCell ref="B30:D30"/>
    <mergeCell ref="A6:A14"/>
    <mergeCell ref="A15:A19"/>
    <mergeCell ref="A20:A21"/>
    <mergeCell ref="A27:A30"/>
    <mergeCell ref="B7:B10"/>
    <mergeCell ref="B11:B14"/>
    <mergeCell ref="C7:C8"/>
    <mergeCell ref="C9:C10"/>
    <mergeCell ref="C11:C12"/>
    <mergeCell ref="C13:C14"/>
    <mergeCell ref="E4:E5"/>
    <mergeCell ref="E25:E26"/>
    <mergeCell ref="F4:F5"/>
    <mergeCell ref="A4:D5"/>
    <mergeCell ref="B16:C17"/>
    <mergeCell ref="B18:C19"/>
    <mergeCell ref="A25:D26"/>
  </mergeCells>
  <printOptions horizontalCentered="1"/>
  <pageMargins left="1.18110236220472" right="1.18110236220472" top="1.18110236220472" bottom="1.18110236220472" header="0.51181" footer="0.51181"/>
  <pageSetup paperSize="9" scale="4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zoomScalePageLayoutView="60" workbookViewId="0">
      <pane topLeftCell="E6" activePane="bottomRight" state="frozen"/>
      <selection activeCell="A1" sqref="A1:P1"/>
    </sheetView>
  </sheetViews>
  <sheetFormatPr defaultColWidth="8" defaultRowHeight="14.25"/>
  <cols>
    <col min="1" max="1" width="4.73333333333333" style="1"/>
    <col min="2" max="2" width="11.1833333333333" style="1"/>
    <col min="3" max="3" width="13.7666666666667" style="1"/>
    <col min="4" max="4" width="6.025" style="1"/>
    <col min="5" max="7" width="17.2083333333333" style="1"/>
    <col min="8" max="13" width="15.775" style="1"/>
    <col min="14" max="15" width="17.2083333333333" style="1"/>
    <col min="16" max="16" width="15.775" style="1"/>
  </cols>
  <sheetData>
    <row r="1" ht="53.25" customHeight="1" spans="1:16">
      <c r="A1" s="97" t="s">
        <v>146</v>
      </c>
      <c r="B1" s="97"/>
      <c r="C1" s="177"/>
      <c r="D1" s="184"/>
      <c r="E1" s="177"/>
      <c r="F1" s="177"/>
      <c r="G1" s="97"/>
      <c r="H1" s="177"/>
      <c r="I1" s="177"/>
      <c r="J1" s="177"/>
      <c r="K1" s="177"/>
      <c r="L1" s="97"/>
      <c r="M1" s="177"/>
      <c r="N1" s="177"/>
      <c r="O1" s="177"/>
      <c r="P1" s="177"/>
    </row>
    <row r="2" ht="15.75" customHeight="1" spans="1:16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39" t="s">
        <v>16</v>
      </c>
      <c r="P2" s="39"/>
    </row>
    <row r="3" ht="15" customHeight="1" spans="1:16">
      <c r="A3" s="26"/>
      <c r="B3" s="26" t="s">
        <v>147</v>
      </c>
      <c r="C3" s="25" t="s">
        <v>52</v>
      </c>
      <c r="D3" s="70"/>
      <c r="E3" s="70"/>
      <c r="F3" s="24"/>
      <c r="G3" s="26"/>
      <c r="H3" s="252" t="s">
        <v>53</v>
      </c>
      <c r="I3" s="24"/>
      <c r="J3" s="24"/>
      <c r="K3" s="24"/>
      <c r="L3" s="26"/>
      <c r="M3" s="71"/>
      <c r="N3" s="71"/>
      <c r="O3" s="71"/>
      <c r="P3" s="71" t="s">
        <v>74</v>
      </c>
    </row>
    <row r="4" ht="15" customHeight="1" spans="1:16">
      <c r="A4" s="27" t="s">
        <v>148</v>
      </c>
      <c r="B4" s="27"/>
      <c r="C4" s="27"/>
      <c r="D4" s="27" t="s">
        <v>110</v>
      </c>
      <c r="E4" s="27" t="s">
        <v>149</v>
      </c>
      <c r="F4" s="27" t="s">
        <v>150</v>
      </c>
      <c r="G4" s="27" t="s">
        <v>75</v>
      </c>
      <c r="H4" s="27" t="s">
        <v>151</v>
      </c>
      <c r="I4" s="27"/>
      <c r="J4" s="27" t="s">
        <v>152</v>
      </c>
      <c r="K4" s="27"/>
      <c r="L4" s="27" t="s">
        <v>153</v>
      </c>
      <c r="M4" s="27"/>
      <c r="N4" s="27" t="s">
        <v>76</v>
      </c>
      <c r="O4" s="27"/>
      <c r="P4" s="27"/>
    </row>
    <row r="5" ht="39.75" customHeight="1" spans="1:16">
      <c r="A5" s="27"/>
      <c r="B5" s="27"/>
      <c r="C5" s="27"/>
      <c r="D5" s="27"/>
      <c r="E5" s="27"/>
      <c r="F5" s="27"/>
      <c r="G5" s="27"/>
      <c r="H5" s="27" t="s">
        <v>154</v>
      </c>
      <c r="I5" s="27" t="s">
        <v>155</v>
      </c>
      <c r="J5" s="27" t="s">
        <v>156</v>
      </c>
      <c r="K5" s="27" t="s">
        <v>155</v>
      </c>
      <c r="L5" s="27" t="s">
        <v>157</v>
      </c>
      <c r="M5" s="27" t="s">
        <v>158</v>
      </c>
      <c r="N5" s="27" t="s">
        <v>118</v>
      </c>
      <c r="O5" s="27" t="s">
        <v>159</v>
      </c>
      <c r="P5" s="27" t="s">
        <v>154</v>
      </c>
    </row>
    <row r="6" ht="15" customHeight="1" spans="1:16">
      <c r="A6" s="27" t="s">
        <v>160</v>
      </c>
      <c r="B6" s="28" t="s">
        <v>161</v>
      </c>
      <c r="C6" s="28"/>
      <c r="D6" s="29" t="s">
        <v>121</v>
      </c>
      <c r="E6" s="43">
        <f>E7+E9</f>
        <v>34339</v>
      </c>
      <c r="F6" s="43">
        <f>F7+F9</f>
        <v>40532</v>
      </c>
      <c r="G6" s="43">
        <f>G7+G9</f>
        <v>43366</v>
      </c>
      <c r="H6" s="32">
        <v>0.0699200632</v>
      </c>
      <c r="I6" s="254" t="s">
        <v>65</v>
      </c>
      <c r="J6" s="32">
        <v>0.0809042901</v>
      </c>
      <c r="K6" s="254" t="s">
        <v>65</v>
      </c>
      <c r="L6" s="254" t="s">
        <v>65</v>
      </c>
      <c r="M6" s="254" t="s">
        <v>65</v>
      </c>
      <c r="N6" s="43">
        <f>N7+N9</f>
        <v>41970</v>
      </c>
      <c r="O6" s="43">
        <f>O7+O9</f>
        <v>-1396</v>
      </c>
      <c r="P6" s="32">
        <v>-0.0321911175</v>
      </c>
    </row>
    <row r="7" ht="15" customHeight="1" spans="1:16">
      <c r="A7" s="36"/>
      <c r="B7" s="27" t="s">
        <v>162</v>
      </c>
      <c r="C7" s="28" t="s">
        <v>124</v>
      </c>
      <c r="D7" s="29" t="s">
        <v>121</v>
      </c>
      <c r="E7" s="244">
        <v>22842</v>
      </c>
      <c r="F7" s="245">
        <v>28105</v>
      </c>
      <c r="G7" s="245">
        <v>30507</v>
      </c>
      <c r="H7" s="250">
        <v>0.0854652197</v>
      </c>
      <c r="I7" s="248">
        <v>0.2</v>
      </c>
      <c r="J7" s="249">
        <v>0.1012564328</v>
      </c>
      <c r="K7" s="250">
        <f>1-I7</f>
        <v>0.8</v>
      </c>
      <c r="L7" s="250">
        <f>H7*I7+J7*K7</f>
        <v>0.09809819018</v>
      </c>
      <c r="M7" s="248">
        <v>-0.05</v>
      </c>
      <c r="N7" s="251">
        <v>28982</v>
      </c>
      <c r="O7" s="251">
        <f t="shared" ref="O7:O14" si="0">N7-G7</f>
        <v>-1525</v>
      </c>
      <c r="P7" s="250">
        <v>-0.0499885272</v>
      </c>
    </row>
    <row r="8" ht="15" customHeight="1" spans="1:16">
      <c r="A8" s="27"/>
      <c r="B8" s="27"/>
      <c r="C8" s="28" t="s">
        <v>125</v>
      </c>
      <c r="D8" s="29" t="s">
        <v>121</v>
      </c>
      <c r="E8" s="33">
        <v>22544</v>
      </c>
      <c r="F8" s="34">
        <v>27660</v>
      </c>
      <c r="G8" s="34">
        <v>29306</v>
      </c>
      <c r="H8" s="32">
        <v>0.0595083153</v>
      </c>
      <c r="I8" s="254" t="s">
        <v>65</v>
      </c>
      <c r="J8" s="32">
        <v>0.091377987</v>
      </c>
      <c r="K8" s="254" t="s">
        <v>65</v>
      </c>
      <c r="L8" s="254" t="s">
        <v>65</v>
      </c>
      <c r="M8" s="254" t="s">
        <v>65</v>
      </c>
      <c r="N8" s="43">
        <v>29745</v>
      </c>
      <c r="O8" s="43">
        <f t="shared" si="0"/>
        <v>439</v>
      </c>
      <c r="P8" s="32">
        <v>0.0149798676</v>
      </c>
    </row>
    <row r="9" ht="15" customHeight="1" spans="1:16">
      <c r="A9" s="36"/>
      <c r="B9" s="27" t="s">
        <v>163</v>
      </c>
      <c r="C9" s="28" t="s">
        <v>124</v>
      </c>
      <c r="D9" s="29" t="s">
        <v>121</v>
      </c>
      <c r="E9" s="244">
        <v>11497</v>
      </c>
      <c r="F9" s="245">
        <v>12427</v>
      </c>
      <c r="G9" s="245">
        <v>12859</v>
      </c>
      <c r="H9" s="250">
        <v>0.034763016</v>
      </c>
      <c r="I9" s="248">
        <v>0</v>
      </c>
      <c r="J9" s="249">
        <v>0.0380243827</v>
      </c>
      <c r="K9" s="250">
        <f>1-I9</f>
        <v>1</v>
      </c>
      <c r="L9" s="250">
        <f>H9*I9+J9*K9</f>
        <v>0.0380243827</v>
      </c>
      <c r="M9" s="248">
        <v>0.01</v>
      </c>
      <c r="N9" s="251">
        <v>12988</v>
      </c>
      <c r="O9" s="251">
        <f t="shared" si="0"/>
        <v>129</v>
      </c>
      <c r="P9" s="250">
        <v>0.0100318843</v>
      </c>
    </row>
    <row r="10" ht="15" customHeight="1" spans="1:16">
      <c r="A10" s="27"/>
      <c r="B10" s="27"/>
      <c r="C10" s="28" t="s">
        <v>125</v>
      </c>
      <c r="D10" s="29" t="s">
        <v>121</v>
      </c>
      <c r="E10" s="33">
        <v>11401</v>
      </c>
      <c r="F10" s="34">
        <v>12357</v>
      </c>
      <c r="G10" s="34">
        <v>12643</v>
      </c>
      <c r="H10" s="32">
        <v>0.0231447762</v>
      </c>
      <c r="I10" s="254" t="s">
        <v>65</v>
      </c>
      <c r="J10" s="32">
        <v>0.0350684335</v>
      </c>
      <c r="K10" s="254" t="s">
        <v>65</v>
      </c>
      <c r="L10" s="254" t="s">
        <v>65</v>
      </c>
      <c r="M10" s="254" t="s">
        <v>65</v>
      </c>
      <c r="N10" s="43">
        <v>12924</v>
      </c>
      <c r="O10" s="43">
        <f t="shared" si="0"/>
        <v>281</v>
      </c>
      <c r="P10" s="32">
        <v>0.0222257376</v>
      </c>
    </row>
    <row r="11" ht="15" customHeight="1" spans="1:16">
      <c r="A11" s="27"/>
      <c r="B11" s="194" t="s">
        <v>164</v>
      </c>
      <c r="C11" s="194"/>
      <c r="D11" s="29" t="s">
        <v>121</v>
      </c>
      <c r="E11" s="33">
        <v>22842</v>
      </c>
      <c r="F11" s="34">
        <v>27660</v>
      </c>
      <c r="G11" s="34">
        <v>29306</v>
      </c>
      <c r="H11" s="32">
        <v>0.0595083153</v>
      </c>
      <c r="I11" s="148">
        <v>0</v>
      </c>
      <c r="J11" s="32">
        <v>0.0866111055</v>
      </c>
      <c r="K11" s="32">
        <f>1-I11</f>
        <v>1</v>
      </c>
      <c r="L11" s="32">
        <f>H11*I11+J11*K11</f>
        <v>0.0866111055</v>
      </c>
      <c r="M11" s="148">
        <v>0.01</v>
      </c>
      <c r="N11" s="43">
        <v>29599</v>
      </c>
      <c r="O11" s="43">
        <f t="shared" si="0"/>
        <v>293</v>
      </c>
      <c r="P11" s="32">
        <v>0.0099979526</v>
      </c>
    </row>
    <row r="12" ht="15" customHeight="1" spans="1:16">
      <c r="A12" s="27"/>
      <c r="B12" s="194" t="s">
        <v>165</v>
      </c>
      <c r="C12" s="194"/>
      <c r="D12" s="29" t="s">
        <v>166</v>
      </c>
      <c r="E12" s="30">
        <v>5384</v>
      </c>
      <c r="F12" s="30">
        <v>5455</v>
      </c>
      <c r="G12" s="30">
        <v>5975</v>
      </c>
      <c r="H12" s="32">
        <v>0.0953253896</v>
      </c>
      <c r="I12" s="148">
        <v>0</v>
      </c>
      <c r="J12" s="32">
        <v>0.0353271894</v>
      </c>
      <c r="K12" s="32">
        <f>1-I12</f>
        <v>1</v>
      </c>
      <c r="L12" s="32">
        <f>H12*I12+J12*K12</f>
        <v>0.0353271894</v>
      </c>
      <c r="M12" s="256">
        <v>0.05</v>
      </c>
      <c r="N12" s="35">
        <v>6273.75</v>
      </c>
      <c r="O12" s="35">
        <f t="shared" si="0"/>
        <v>298.75</v>
      </c>
      <c r="P12" s="32">
        <v>0.05</v>
      </c>
    </row>
    <row r="13" ht="15" customHeight="1" spans="1:16">
      <c r="A13" s="27"/>
      <c r="B13" s="194" t="s">
        <v>167</v>
      </c>
      <c r="C13" s="194"/>
      <c r="D13" s="29" t="s">
        <v>166</v>
      </c>
      <c r="E13" s="35">
        <v>5262.93</v>
      </c>
      <c r="F13" s="35">
        <v>5065.2</v>
      </c>
      <c r="G13" s="253">
        <v>5006.31</v>
      </c>
      <c r="H13" s="32">
        <v>-0.0116263919</v>
      </c>
      <c r="I13" s="254" t="s">
        <v>65</v>
      </c>
      <c r="J13" s="32">
        <v>-0.016524871</v>
      </c>
      <c r="K13" s="254" t="s">
        <v>65</v>
      </c>
      <c r="L13" s="254" t="s">
        <v>65</v>
      </c>
      <c r="M13" s="254" t="s">
        <v>65</v>
      </c>
      <c r="N13" s="35">
        <v>5204.59</v>
      </c>
      <c r="O13" s="35">
        <f t="shared" si="0"/>
        <v>198.28</v>
      </c>
      <c r="P13" s="32">
        <v>0.0396060172</v>
      </c>
    </row>
    <row r="14" ht="15" customHeight="1" spans="1:16">
      <c r="A14" s="27"/>
      <c r="B14" s="194" t="s">
        <v>168</v>
      </c>
      <c r="C14" s="194"/>
      <c r="D14" s="29" t="s">
        <v>130</v>
      </c>
      <c r="E14" s="32">
        <v>0.9775130015</v>
      </c>
      <c r="F14" s="32">
        <v>0.9285426214</v>
      </c>
      <c r="G14" s="32">
        <v>0.8378761506</v>
      </c>
      <c r="H14" s="254" t="s">
        <v>65</v>
      </c>
      <c r="I14" s="254" t="s">
        <v>65</v>
      </c>
      <c r="J14" s="254" t="s">
        <v>65</v>
      </c>
      <c r="K14" s="254" t="s">
        <v>65</v>
      </c>
      <c r="L14" s="254" t="s">
        <v>65</v>
      </c>
      <c r="M14" s="254" t="s">
        <v>65</v>
      </c>
      <c r="N14" s="32">
        <v>0.8295819884</v>
      </c>
      <c r="O14" s="32">
        <f t="shared" si="0"/>
        <v>-0.00829416220000001</v>
      </c>
      <c r="P14" s="32">
        <v>-0.0098990313</v>
      </c>
    </row>
    <row r="15" ht="15" customHeight="1" spans="1:16">
      <c r="A15" s="27" t="s">
        <v>169</v>
      </c>
      <c r="B15" s="194" t="s">
        <v>170</v>
      </c>
      <c r="C15" s="194"/>
      <c r="D15" s="29" t="s">
        <v>65</v>
      </c>
      <c r="E15" s="195"/>
      <c r="F15" s="195"/>
      <c r="G15" s="195"/>
      <c r="H15" s="254" t="s">
        <v>65</v>
      </c>
      <c r="I15" s="254" t="s">
        <v>65</v>
      </c>
      <c r="J15" s="254" t="s">
        <v>65</v>
      </c>
      <c r="K15" s="254" t="s">
        <v>65</v>
      </c>
      <c r="L15" s="254" t="s">
        <v>65</v>
      </c>
      <c r="M15" s="254" t="s">
        <v>65</v>
      </c>
      <c r="N15" s="29" t="s">
        <v>65</v>
      </c>
      <c r="O15" s="29" t="s">
        <v>65</v>
      </c>
      <c r="P15" s="254" t="s">
        <v>65</v>
      </c>
    </row>
    <row r="16" ht="15" customHeight="1" spans="1:16">
      <c r="A16" s="27"/>
      <c r="B16" s="194" t="s">
        <v>171</v>
      </c>
      <c r="C16" s="194"/>
      <c r="D16" s="29" t="s">
        <v>143</v>
      </c>
      <c r="E16" s="31">
        <v>1442591496</v>
      </c>
      <c r="F16" s="31">
        <v>1681241100</v>
      </c>
      <c r="G16" s="31">
        <v>1760579981.49</v>
      </c>
      <c r="H16" s="32">
        <v>0.0471906626</v>
      </c>
      <c r="I16" s="148">
        <v>0</v>
      </c>
      <c r="J16" s="32">
        <v>0.0686548569</v>
      </c>
      <c r="K16" s="32">
        <f>1-I16</f>
        <v>1</v>
      </c>
      <c r="L16" s="32">
        <f>H16*I16+J16*K16</f>
        <v>0.0686548569</v>
      </c>
      <c r="M16" s="148">
        <v>0.05</v>
      </c>
      <c r="N16" s="35">
        <v>1848608980.56</v>
      </c>
      <c r="O16" s="35">
        <f t="shared" ref="O16:O37" si="1">N16-G16</f>
        <v>88028999.0699999</v>
      </c>
      <c r="P16" s="32">
        <v>0.05</v>
      </c>
    </row>
    <row r="17" ht="15" customHeight="1" spans="1:16">
      <c r="A17" s="27"/>
      <c r="B17" s="194" t="s">
        <v>172</v>
      </c>
      <c r="C17" s="194"/>
      <c r="D17" s="29" t="s">
        <v>143</v>
      </c>
      <c r="E17" s="31">
        <v>1442591496</v>
      </c>
      <c r="F17" s="31">
        <v>1681241100</v>
      </c>
      <c r="G17" s="31">
        <v>1760579981.49</v>
      </c>
      <c r="H17" s="32">
        <v>0.0471906626</v>
      </c>
      <c r="I17" s="148">
        <v>0</v>
      </c>
      <c r="J17" s="32">
        <v>0.0686548569</v>
      </c>
      <c r="K17" s="32">
        <f>1-I17</f>
        <v>1</v>
      </c>
      <c r="L17" s="32">
        <f>H17*I17+J17*K17</f>
        <v>0.0686548569</v>
      </c>
      <c r="M17" s="148">
        <v>0.05</v>
      </c>
      <c r="N17" s="35">
        <v>1848608980.56</v>
      </c>
      <c r="O17" s="35">
        <f t="shared" si="1"/>
        <v>88028999.0699999</v>
      </c>
      <c r="P17" s="32">
        <v>0.05</v>
      </c>
    </row>
    <row r="18" ht="15" customHeight="1" spans="1:16">
      <c r="A18" s="27"/>
      <c r="B18" s="194" t="s">
        <v>173</v>
      </c>
      <c r="C18" s="194"/>
      <c r="D18" s="29" t="s">
        <v>130</v>
      </c>
      <c r="E18" s="32">
        <f>E19+E20</f>
        <v>0.09</v>
      </c>
      <c r="F18" s="32">
        <f>F19+F20</f>
        <v>0.09</v>
      </c>
      <c r="G18" s="32">
        <f>G19+G20</f>
        <v>0.09</v>
      </c>
      <c r="H18" s="32">
        <v>0</v>
      </c>
      <c r="I18" s="254" t="s">
        <v>65</v>
      </c>
      <c r="J18" s="32">
        <v>0</v>
      </c>
      <c r="K18" s="254" t="s">
        <v>65</v>
      </c>
      <c r="L18" s="254" t="s">
        <v>65</v>
      </c>
      <c r="M18" s="254" t="s">
        <v>65</v>
      </c>
      <c r="N18" s="32">
        <f>N19+N20</f>
        <v>0.09</v>
      </c>
      <c r="O18" s="32">
        <f t="shared" si="1"/>
        <v>0</v>
      </c>
      <c r="P18" s="32">
        <v>0</v>
      </c>
    </row>
    <row r="19" ht="15" customHeight="1" spans="1:16">
      <c r="A19" s="27"/>
      <c r="B19" s="194" t="s">
        <v>171</v>
      </c>
      <c r="C19" s="194"/>
      <c r="D19" s="29" t="s">
        <v>130</v>
      </c>
      <c r="E19" s="148">
        <v>0.07</v>
      </c>
      <c r="F19" s="148">
        <v>0.07</v>
      </c>
      <c r="G19" s="148">
        <v>0.07</v>
      </c>
      <c r="H19" s="32">
        <v>0</v>
      </c>
      <c r="I19" s="254" t="s">
        <v>65</v>
      </c>
      <c r="J19" s="32">
        <v>0</v>
      </c>
      <c r="K19" s="254" t="s">
        <v>65</v>
      </c>
      <c r="L19" s="254" t="s">
        <v>65</v>
      </c>
      <c r="M19" s="254" t="s">
        <v>65</v>
      </c>
      <c r="N19" s="148">
        <v>0.07</v>
      </c>
      <c r="O19" s="32">
        <f t="shared" si="1"/>
        <v>0</v>
      </c>
      <c r="P19" s="32">
        <v>0</v>
      </c>
    </row>
    <row r="20" ht="15" customHeight="1" spans="1:16">
      <c r="A20" s="27"/>
      <c r="B20" s="194" t="s">
        <v>172</v>
      </c>
      <c r="C20" s="194"/>
      <c r="D20" s="29" t="s">
        <v>130</v>
      </c>
      <c r="E20" s="200">
        <v>0.02</v>
      </c>
      <c r="F20" s="200">
        <v>0.02</v>
      </c>
      <c r="G20" s="148">
        <v>0.02</v>
      </c>
      <c r="H20" s="32">
        <v>0</v>
      </c>
      <c r="I20" s="254" t="s">
        <v>65</v>
      </c>
      <c r="J20" s="203">
        <v>0</v>
      </c>
      <c r="K20" s="254" t="s">
        <v>65</v>
      </c>
      <c r="L20" s="254" t="s">
        <v>65</v>
      </c>
      <c r="M20" s="254" t="s">
        <v>65</v>
      </c>
      <c r="N20" s="200">
        <v>0.02</v>
      </c>
      <c r="O20" s="32">
        <f t="shared" si="1"/>
        <v>0</v>
      </c>
      <c r="P20" s="32">
        <v>0</v>
      </c>
    </row>
    <row r="21" ht="15" customHeight="1" spans="1:16">
      <c r="A21" s="255"/>
      <c r="B21" s="194" t="s">
        <v>174</v>
      </c>
      <c r="C21" s="194"/>
      <c r="D21" s="29" t="s">
        <v>143</v>
      </c>
      <c r="E21" s="35">
        <f>E22+E23</f>
        <v>129833234.64</v>
      </c>
      <c r="F21" s="35">
        <f>F22+F23</f>
        <v>151311699</v>
      </c>
      <c r="G21" s="35">
        <f>G22+G23</f>
        <v>158452198.33</v>
      </c>
      <c r="H21" s="32">
        <v>0.0471906626</v>
      </c>
      <c r="I21" s="254" t="s">
        <v>65</v>
      </c>
      <c r="J21" s="203">
        <v>0.0686548569</v>
      </c>
      <c r="K21" s="254" t="s">
        <v>65</v>
      </c>
      <c r="L21" s="254" t="s">
        <v>65</v>
      </c>
      <c r="M21" s="254" t="s">
        <v>65</v>
      </c>
      <c r="N21" s="35">
        <f>N22+N23</f>
        <v>166374808.25</v>
      </c>
      <c r="O21" s="35">
        <f t="shared" si="1"/>
        <v>7922609.91999999</v>
      </c>
      <c r="P21" s="32">
        <v>0.05</v>
      </c>
    </row>
    <row r="22" ht="15" customHeight="1" spans="1:16">
      <c r="A22" s="255"/>
      <c r="B22" s="194" t="s">
        <v>171</v>
      </c>
      <c r="C22" s="194"/>
      <c r="D22" s="29" t="s">
        <v>143</v>
      </c>
      <c r="E22" s="35">
        <f>E16*E19</f>
        <v>100981404.72</v>
      </c>
      <c r="F22" s="35">
        <f>F16*F19</f>
        <v>117686877</v>
      </c>
      <c r="G22" s="35">
        <v>123240598.7</v>
      </c>
      <c r="H22" s="32">
        <v>0.0471906626</v>
      </c>
      <c r="I22" s="254" t="s">
        <v>65</v>
      </c>
      <c r="J22" s="203">
        <v>0.0686548569</v>
      </c>
      <c r="K22" s="254" t="s">
        <v>65</v>
      </c>
      <c r="L22" s="254" t="s">
        <v>65</v>
      </c>
      <c r="M22" s="254" t="s">
        <v>65</v>
      </c>
      <c r="N22" s="35">
        <v>129402628.64</v>
      </c>
      <c r="O22" s="35">
        <f t="shared" si="1"/>
        <v>6162029.94</v>
      </c>
      <c r="P22" s="32">
        <v>0.05</v>
      </c>
    </row>
    <row r="23" ht="15" customHeight="1" spans="1:16">
      <c r="A23" s="255"/>
      <c r="B23" s="194" t="s">
        <v>172</v>
      </c>
      <c r="C23" s="194"/>
      <c r="D23" s="29" t="s">
        <v>143</v>
      </c>
      <c r="E23" s="35">
        <f>E17*E20</f>
        <v>28851829.92</v>
      </c>
      <c r="F23" s="35">
        <f>F17*F20</f>
        <v>33624822</v>
      </c>
      <c r="G23" s="35">
        <v>35211599.63</v>
      </c>
      <c r="H23" s="32">
        <v>0.0471906626</v>
      </c>
      <c r="I23" s="254" t="s">
        <v>65</v>
      </c>
      <c r="J23" s="203">
        <v>0.0686548569</v>
      </c>
      <c r="K23" s="254" t="s">
        <v>65</v>
      </c>
      <c r="L23" s="254" t="s">
        <v>65</v>
      </c>
      <c r="M23" s="254" t="s">
        <v>65</v>
      </c>
      <c r="N23" s="35">
        <v>36972179.61</v>
      </c>
      <c r="O23" s="35">
        <f t="shared" si="1"/>
        <v>1760579.98</v>
      </c>
      <c r="P23" s="32">
        <v>0.05</v>
      </c>
    </row>
    <row r="24" ht="15" customHeight="1" spans="1:16">
      <c r="A24" s="27"/>
      <c r="B24" s="194" t="s">
        <v>175</v>
      </c>
      <c r="C24" s="194"/>
      <c r="D24" s="29" t="s">
        <v>130</v>
      </c>
      <c r="E24" s="200">
        <v>1</v>
      </c>
      <c r="F24" s="200">
        <v>1</v>
      </c>
      <c r="G24" s="148">
        <v>1</v>
      </c>
      <c r="H24" s="254" t="s">
        <v>65</v>
      </c>
      <c r="I24" s="254" t="s">
        <v>65</v>
      </c>
      <c r="J24" s="254" t="s">
        <v>65</v>
      </c>
      <c r="K24" s="254" t="s">
        <v>65</v>
      </c>
      <c r="L24" s="254" t="s">
        <v>65</v>
      </c>
      <c r="M24" s="254" t="s">
        <v>65</v>
      </c>
      <c r="N24" s="200">
        <v>1</v>
      </c>
      <c r="O24" s="32">
        <f t="shared" si="1"/>
        <v>0</v>
      </c>
      <c r="P24" s="32">
        <v>0</v>
      </c>
    </row>
    <row r="25" ht="15" customHeight="1" spans="1:16">
      <c r="A25" s="28"/>
      <c r="B25" s="194" t="s">
        <v>176</v>
      </c>
      <c r="C25" s="194"/>
      <c r="D25" s="29" t="s">
        <v>130</v>
      </c>
      <c r="E25" s="200">
        <v>0.28</v>
      </c>
      <c r="F25" s="200">
        <v>0.28</v>
      </c>
      <c r="G25" s="148">
        <v>0.28</v>
      </c>
      <c r="H25" s="254" t="s">
        <v>65</v>
      </c>
      <c r="I25" s="254" t="s">
        <v>65</v>
      </c>
      <c r="J25" s="254" t="s">
        <v>65</v>
      </c>
      <c r="K25" s="254" t="s">
        <v>65</v>
      </c>
      <c r="L25" s="254" t="s">
        <v>65</v>
      </c>
      <c r="M25" s="254" t="s">
        <v>65</v>
      </c>
      <c r="N25" s="200">
        <v>0.28</v>
      </c>
      <c r="O25" s="32">
        <f t="shared" si="1"/>
        <v>0</v>
      </c>
      <c r="P25" s="32">
        <v>0</v>
      </c>
    </row>
    <row r="26" ht="15" customHeight="1" spans="1:16">
      <c r="A26" s="28" t="s">
        <v>177</v>
      </c>
      <c r="B26" s="28" t="s">
        <v>178</v>
      </c>
      <c r="C26" s="28" t="s">
        <v>179</v>
      </c>
      <c r="D26" s="29" t="s">
        <v>143</v>
      </c>
      <c r="E26" s="37">
        <v>105247027.62</v>
      </c>
      <c r="F26" s="37">
        <v>114709629.08</v>
      </c>
      <c r="G26" s="35">
        <v>88733231.06</v>
      </c>
      <c r="H26" s="32">
        <v>-0.226453509</v>
      </c>
      <c r="I26" s="254" t="s">
        <v>65</v>
      </c>
      <c r="J26" s="203">
        <v>-0.0553038354</v>
      </c>
      <c r="K26" s="254" t="s">
        <v>65</v>
      </c>
      <c r="L26" s="254" t="s">
        <v>65</v>
      </c>
      <c r="M26" s="254" t="s">
        <v>65</v>
      </c>
      <c r="N26" s="35">
        <v>93169892.62</v>
      </c>
      <c r="O26" s="35">
        <f t="shared" si="1"/>
        <v>4436661.56</v>
      </c>
      <c r="P26" s="32">
        <v>0.0500000001</v>
      </c>
    </row>
    <row r="27" ht="15" customHeight="1" spans="1:16">
      <c r="A27" s="28"/>
      <c r="B27" s="28"/>
      <c r="C27" s="28" t="s">
        <v>180</v>
      </c>
      <c r="D27" s="29" t="s">
        <v>143</v>
      </c>
      <c r="E27" s="37">
        <v>24586207.04</v>
      </c>
      <c r="F27" s="37">
        <v>25797055.68</v>
      </c>
      <c r="G27" s="35">
        <v>69718967.27</v>
      </c>
      <c r="H27" s="32">
        <v>1.7025939756</v>
      </c>
      <c r="I27" s="254" t="s">
        <v>65</v>
      </c>
      <c r="J27" s="203">
        <v>0.4154237231</v>
      </c>
      <c r="K27" s="254" t="s">
        <v>65</v>
      </c>
      <c r="L27" s="254" t="s">
        <v>65</v>
      </c>
      <c r="M27" s="254" t="s">
        <v>65</v>
      </c>
      <c r="N27" s="35">
        <v>73204915.63</v>
      </c>
      <c r="O27" s="35">
        <f t="shared" si="1"/>
        <v>3485948.36</v>
      </c>
      <c r="P27" s="32">
        <v>0.0499999999</v>
      </c>
    </row>
    <row r="28" ht="15" customHeight="1" spans="1:16">
      <c r="A28" s="28"/>
      <c r="B28" s="28" t="s">
        <v>181</v>
      </c>
      <c r="C28" s="28" t="s">
        <v>179</v>
      </c>
      <c r="D28" s="29" t="s">
        <v>143</v>
      </c>
      <c r="E28" s="30">
        <v>0</v>
      </c>
      <c r="F28" s="30">
        <v>0</v>
      </c>
      <c r="G28" s="30">
        <v>0</v>
      </c>
      <c r="H28" s="32">
        <v>0</v>
      </c>
      <c r="I28" s="254" t="s">
        <v>65</v>
      </c>
      <c r="J28" s="32">
        <v>0</v>
      </c>
      <c r="K28" s="254" t="s">
        <v>65</v>
      </c>
      <c r="L28" s="254" t="s">
        <v>65</v>
      </c>
      <c r="M28" s="254" t="s">
        <v>65</v>
      </c>
      <c r="N28" s="30">
        <v>0</v>
      </c>
      <c r="O28" s="35">
        <f t="shared" si="1"/>
        <v>0</v>
      </c>
      <c r="P28" s="32">
        <v>0</v>
      </c>
    </row>
    <row r="29" ht="15" customHeight="1" spans="1:16">
      <c r="A29" s="28"/>
      <c r="B29" s="28"/>
      <c r="C29" s="28" t="s">
        <v>180</v>
      </c>
      <c r="D29" s="29" t="s">
        <v>143</v>
      </c>
      <c r="E29" s="30">
        <v>0</v>
      </c>
      <c r="F29" s="30">
        <v>0</v>
      </c>
      <c r="G29" s="30">
        <v>0</v>
      </c>
      <c r="H29" s="32">
        <v>0</v>
      </c>
      <c r="I29" s="254" t="s">
        <v>65</v>
      </c>
      <c r="J29" s="32">
        <v>0</v>
      </c>
      <c r="K29" s="254" t="s">
        <v>65</v>
      </c>
      <c r="L29" s="254" t="s">
        <v>65</v>
      </c>
      <c r="M29" s="254" t="s">
        <v>65</v>
      </c>
      <c r="N29" s="30">
        <v>0</v>
      </c>
      <c r="O29" s="35">
        <f t="shared" si="1"/>
        <v>0</v>
      </c>
      <c r="P29" s="32">
        <v>0</v>
      </c>
    </row>
    <row r="30" ht="15" customHeight="1" spans="1:16">
      <c r="A30" s="28"/>
      <c r="B30" s="28" t="s">
        <v>182</v>
      </c>
      <c r="C30" s="28" t="s">
        <v>179</v>
      </c>
      <c r="D30" s="29" t="s">
        <v>143</v>
      </c>
      <c r="E30" s="30">
        <v>0</v>
      </c>
      <c r="F30" s="30">
        <v>0</v>
      </c>
      <c r="G30" s="30">
        <v>0</v>
      </c>
      <c r="H30" s="32">
        <v>0</v>
      </c>
      <c r="I30" s="254" t="s">
        <v>65</v>
      </c>
      <c r="J30" s="32">
        <v>0</v>
      </c>
      <c r="K30" s="254" t="s">
        <v>65</v>
      </c>
      <c r="L30" s="254" t="s">
        <v>65</v>
      </c>
      <c r="M30" s="254" t="s">
        <v>65</v>
      </c>
      <c r="N30" s="30">
        <v>0</v>
      </c>
      <c r="O30" s="35">
        <f t="shared" si="1"/>
        <v>0</v>
      </c>
      <c r="P30" s="32">
        <v>0</v>
      </c>
    </row>
    <row r="31" ht="15" customHeight="1" spans="1:16">
      <c r="A31" s="28"/>
      <c r="B31" s="28"/>
      <c r="C31" s="28" t="s">
        <v>180</v>
      </c>
      <c r="D31" s="29" t="s">
        <v>143</v>
      </c>
      <c r="E31" s="30">
        <v>0</v>
      </c>
      <c r="F31" s="30">
        <v>0</v>
      </c>
      <c r="G31" s="30">
        <v>0</v>
      </c>
      <c r="H31" s="32">
        <v>0</v>
      </c>
      <c r="I31" s="254" t="s">
        <v>65</v>
      </c>
      <c r="J31" s="32">
        <v>0</v>
      </c>
      <c r="K31" s="254" t="s">
        <v>65</v>
      </c>
      <c r="L31" s="254" t="s">
        <v>65</v>
      </c>
      <c r="M31" s="254" t="s">
        <v>65</v>
      </c>
      <c r="N31" s="30">
        <v>0</v>
      </c>
      <c r="O31" s="35">
        <f t="shared" si="1"/>
        <v>0</v>
      </c>
      <c r="P31" s="32">
        <v>0</v>
      </c>
    </row>
    <row r="32" ht="15" customHeight="1" spans="1:16">
      <c r="A32" s="28"/>
      <c r="B32" s="28" t="s">
        <v>183</v>
      </c>
      <c r="C32" s="28" t="s">
        <v>179</v>
      </c>
      <c r="D32" s="29" t="s">
        <v>143</v>
      </c>
      <c r="E32" s="30">
        <v>0</v>
      </c>
      <c r="F32" s="30">
        <v>0</v>
      </c>
      <c r="G32" s="30">
        <v>0</v>
      </c>
      <c r="H32" s="32">
        <v>0</v>
      </c>
      <c r="I32" s="254" t="s">
        <v>65</v>
      </c>
      <c r="J32" s="32">
        <v>0</v>
      </c>
      <c r="K32" s="254" t="s">
        <v>65</v>
      </c>
      <c r="L32" s="254" t="s">
        <v>65</v>
      </c>
      <c r="M32" s="254" t="s">
        <v>65</v>
      </c>
      <c r="N32" s="30">
        <v>0</v>
      </c>
      <c r="O32" s="35">
        <f t="shared" si="1"/>
        <v>0</v>
      </c>
      <c r="P32" s="32">
        <v>0</v>
      </c>
    </row>
    <row r="33" ht="15" customHeight="1" spans="1:16">
      <c r="A33" s="28"/>
      <c r="B33" s="28"/>
      <c r="C33" s="28" t="s">
        <v>180</v>
      </c>
      <c r="D33" s="29" t="s">
        <v>143</v>
      </c>
      <c r="E33" s="30">
        <v>0</v>
      </c>
      <c r="F33" s="30">
        <v>0</v>
      </c>
      <c r="G33" s="30">
        <v>0</v>
      </c>
      <c r="H33" s="32">
        <v>0</v>
      </c>
      <c r="I33" s="254" t="s">
        <v>65</v>
      </c>
      <c r="J33" s="32">
        <v>0</v>
      </c>
      <c r="K33" s="254" t="s">
        <v>65</v>
      </c>
      <c r="L33" s="254" t="s">
        <v>65</v>
      </c>
      <c r="M33" s="254" t="s">
        <v>65</v>
      </c>
      <c r="N33" s="30">
        <v>0</v>
      </c>
      <c r="O33" s="35">
        <f t="shared" si="1"/>
        <v>0</v>
      </c>
      <c r="P33" s="32">
        <v>0</v>
      </c>
    </row>
    <row r="34" ht="15" customHeight="1" spans="1:16">
      <c r="A34" s="28"/>
      <c r="B34" s="28" t="s">
        <v>184</v>
      </c>
      <c r="C34" s="28" t="s">
        <v>179</v>
      </c>
      <c r="D34" s="29" t="s">
        <v>143</v>
      </c>
      <c r="E34" s="30">
        <v>0</v>
      </c>
      <c r="F34" s="30">
        <v>0</v>
      </c>
      <c r="G34" s="30">
        <v>0</v>
      </c>
      <c r="H34" s="32">
        <v>0</v>
      </c>
      <c r="I34" s="254" t="s">
        <v>65</v>
      </c>
      <c r="J34" s="32">
        <v>0</v>
      </c>
      <c r="K34" s="254" t="s">
        <v>65</v>
      </c>
      <c r="L34" s="254" t="s">
        <v>65</v>
      </c>
      <c r="M34" s="254" t="s">
        <v>65</v>
      </c>
      <c r="N34" s="30">
        <v>0</v>
      </c>
      <c r="O34" s="35">
        <f t="shared" si="1"/>
        <v>0</v>
      </c>
      <c r="P34" s="32">
        <v>0</v>
      </c>
    </row>
    <row r="35" ht="15" customHeight="1" spans="1:16">
      <c r="A35" s="28"/>
      <c r="B35" s="28"/>
      <c r="C35" s="28" t="s">
        <v>180</v>
      </c>
      <c r="D35" s="29" t="s">
        <v>143</v>
      </c>
      <c r="E35" s="30">
        <v>0</v>
      </c>
      <c r="F35" s="30">
        <v>0</v>
      </c>
      <c r="G35" s="30">
        <v>0</v>
      </c>
      <c r="H35" s="32">
        <v>0</v>
      </c>
      <c r="I35" s="254" t="s">
        <v>65</v>
      </c>
      <c r="J35" s="32">
        <v>0</v>
      </c>
      <c r="K35" s="254" t="s">
        <v>65</v>
      </c>
      <c r="L35" s="254" t="s">
        <v>65</v>
      </c>
      <c r="M35" s="254" t="s">
        <v>65</v>
      </c>
      <c r="N35" s="30">
        <v>0</v>
      </c>
      <c r="O35" s="35">
        <f t="shared" si="1"/>
        <v>0</v>
      </c>
      <c r="P35" s="32">
        <v>0</v>
      </c>
    </row>
    <row r="36" ht="15" customHeight="1" spans="1:16">
      <c r="A36" s="28"/>
      <c r="B36" s="28" t="s">
        <v>77</v>
      </c>
      <c r="C36" s="28" t="s">
        <v>179</v>
      </c>
      <c r="D36" s="29" t="s">
        <v>143</v>
      </c>
      <c r="E36" s="35">
        <f>E26+E28+E30+E32+E34</f>
        <v>105247027.62</v>
      </c>
      <c r="F36" s="35">
        <f>F26+F28+F30+F32+F34</f>
        <v>114709629.08</v>
      </c>
      <c r="G36" s="35">
        <f>G26+G28+G30+G32+G34</f>
        <v>88733231.06</v>
      </c>
      <c r="H36" s="32">
        <v>-0.226453509</v>
      </c>
      <c r="I36" s="254" t="s">
        <v>65</v>
      </c>
      <c r="J36" s="32">
        <v>-0.0553038354</v>
      </c>
      <c r="K36" s="254" t="s">
        <v>65</v>
      </c>
      <c r="L36" s="254" t="s">
        <v>65</v>
      </c>
      <c r="M36" s="254" t="s">
        <v>65</v>
      </c>
      <c r="N36" s="35">
        <f>N26+N28+N30+N32+N34</f>
        <v>93169892.62</v>
      </c>
      <c r="O36" s="35">
        <f t="shared" si="1"/>
        <v>4436661.56</v>
      </c>
      <c r="P36" s="32">
        <v>0.0500000001</v>
      </c>
    </row>
    <row r="37" ht="15" customHeight="1" spans="1:16">
      <c r="A37" s="28"/>
      <c r="B37" s="28"/>
      <c r="C37" s="28" t="s">
        <v>180</v>
      </c>
      <c r="D37" s="29" t="s">
        <v>143</v>
      </c>
      <c r="E37" s="35">
        <f>E27+E29+E31+E33+E35</f>
        <v>24586207.04</v>
      </c>
      <c r="F37" s="35">
        <f>F27+F29+F31+F33+F35</f>
        <v>25797055.68</v>
      </c>
      <c r="G37" s="35">
        <f>G27+G29+G31+G33+G35</f>
        <v>69718967.27</v>
      </c>
      <c r="H37" s="32">
        <v>1.7025939756</v>
      </c>
      <c r="I37" s="254" t="s">
        <v>65</v>
      </c>
      <c r="J37" s="32">
        <v>0.4154237231</v>
      </c>
      <c r="K37" s="254" t="s">
        <v>65</v>
      </c>
      <c r="L37" s="254" t="s">
        <v>65</v>
      </c>
      <c r="M37" s="254" t="s">
        <v>65</v>
      </c>
      <c r="N37" s="35">
        <f>N27+N29+N31+N33+N35</f>
        <v>73204915.63</v>
      </c>
      <c r="O37" s="35">
        <f t="shared" si="1"/>
        <v>3485948.36</v>
      </c>
      <c r="P37" s="32">
        <v>0.0499999999</v>
      </c>
    </row>
  </sheetData>
  <mergeCells count="40">
    <mergeCell ref="A1:P1"/>
    <mergeCell ref="O2:P2"/>
    <mergeCell ref="C3:E3"/>
    <mergeCell ref="H3:I3"/>
    <mergeCell ref="H4:I4"/>
    <mergeCell ref="J4:K4"/>
    <mergeCell ref="L4:M4"/>
    <mergeCell ref="N4:P4"/>
    <mergeCell ref="B6:C6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6:A14"/>
    <mergeCell ref="A15:A25"/>
    <mergeCell ref="A26:A37"/>
    <mergeCell ref="B7:B8"/>
    <mergeCell ref="B9:B10"/>
    <mergeCell ref="B26:B27"/>
    <mergeCell ref="B28:B29"/>
    <mergeCell ref="B30:B31"/>
    <mergeCell ref="B32:B33"/>
    <mergeCell ref="B34:B35"/>
    <mergeCell ref="B36:B37"/>
    <mergeCell ref="D4:D5"/>
    <mergeCell ref="E4:E5"/>
    <mergeCell ref="F4:F5"/>
    <mergeCell ref="G4:G5"/>
    <mergeCell ref="A4:C5"/>
  </mergeCells>
  <printOptions horizont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showGridLines="0" zoomScalePageLayoutView="60" workbookViewId="0">
      <pane topLeftCell="E7" activePane="bottomRight" state="frozen"/>
      <selection activeCell="A1" sqref="A1:O1"/>
    </sheetView>
  </sheetViews>
  <sheetFormatPr defaultColWidth="8" defaultRowHeight="14.25"/>
  <cols>
    <col min="1" max="1" width="6.025" style="1"/>
    <col min="2" max="2" width="13.625" style="1"/>
    <col min="3" max="3" width="8.6" style="1"/>
    <col min="4" max="4" width="6.88333333333333" style="1"/>
    <col min="5" max="7" width="17.2083333333333" style="1"/>
    <col min="8" max="13" width="15.775" style="1"/>
    <col min="14" max="15" width="17.2083333333333" style="1"/>
    <col min="16" max="16" width="15.775" style="1"/>
  </cols>
  <sheetData>
    <row r="1" ht="37.5" customHeight="1" spans="1:16">
      <c r="A1" s="177" t="s">
        <v>185</v>
      </c>
      <c r="B1" s="192"/>
      <c r="C1" s="22"/>
      <c r="D1" s="177"/>
      <c r="E1" s="177"/>
      <c r="F1" s="177"/>
      <c r="G1" s="177"/>
      <c r="H1" s="177"/>
      <c r="I1" s="177"/>
      <c r="J1" s="177"/>
      <c r="K1" s="192"/>
      <c r="L1" s="177"/>
      <c r="M1" s="177"/>
      <c r="N1" s="177"/>
      <c r="O1" s="177"/>
      <c r="P1" s="247"/>
    </row>
    <row r="2" ht="16.5" customHeight="1" spans="1:16">
      <c r="A2" s="240"/>
      <c r="B2" s="240"/>
      <c r="C2" s="22"/>
      <c r="D2" s="241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ht="15" customHeight="1" spans="1:16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239" t="s">
        <v>186</v>
      </c>
      <c r="P3" s="69"/>
    </row>
    <row r="4" ht="15" customHeight="1" spans="1:16">
      <c r="A4" s="24" t="s">
        <v>1</v>
      </c>
      <c r="B4" s="24"/>
      <c r="C4" s="70" t="s">
        <v>52</v>
      </c>
      <c r="D4" s="26"/>
      <c r="E4" s="24"/>
      <c r="F4" s="24"/>
      <c r="G4" s="24"/>
      <c r="H4" s="25" t="s">
        <v>53</v>
      </c>
      <c r="I4" s="24"/>
      <c r="J4" s="24"/>
      <c r="K4" s="26"/>
      <c r="L4" s="71"/>
      <c r="M4" s="71"/>
      <c r="N4" s="71"/>
      <c r="O4" s="71" t="s">
        <v>74</v>
      </c>
      <c r="P4" s="71"/>
    </row>
    <row r="5" ht="15" customHeight="1" spans="1:16">
      <c r="A5" s="27" t="s">
        <v>187</v>
      </c>
      <c r="B5" s="27"/>
      <c r="C5" s="242"/>
      <c r="D5" s="27" t="s">
        <v>110</v>
      </c>
      <c r="E5" s="27" t="s">
        <v>149</v>
      </c>
      <c r="F5" s="27" t="s">
        <v>150</v>
      </c>
      <c r="G5" s="27" t="s">
        <v>188</v>
      </c>
      <c r="H5" s="27" t="s">
        <v>151</v>
      </c>
      <c r="I5" s="27"/>
      <c r="J5" s="27" t="s">
        <v>152</v>
      </c>
      <c r="K5" s="27"/>
      <c r="L5" s="27" t="s">
        <v>153</v>
      </c>
      <c r="M5" s="27"/>
      <c r="N5" s="27" t="s">
        <v>76</v>
      </c>
      <c r="O5" s="27"/>
      <c r="P5" s="27"/>
    </row>
    <row r="6" ht="39.75" customHeight="1" spans="1:16">
      <c r="A6" s="27"/>
      <c r="B6" s="27"/>
      <c r="C6" s="242"/>
      <c r="D6" s="27"/>
      <c r="E6" s="27"/>
      <c r="F6" s="27"/>
      <c r="G6" s="27"/>
      <c r="H6" s="27" t="s">
        <v>154</v>
      </c>
      <c r="I6" s="27" t="s">
        <v>155</v>
      </c>
      <c r="J6" s="27" t="s">
        <v>156</v>
      </c>
      <c r="K6" s="27" t="s">
        <v>155</v>
      </c>
      <c r="L6" s="27" t="s">
        <v>157</v>
      </c>
      <c r="M6" s="27" t="s">
        <v>158</v>
      </c>
      <c r="N6" s="27" t="s">
        <v>118</v>
      </c>
      <c r="O6" s="27" t="s">
        <v>159</v>
      </c>
      <c r="P6" s="27" t="s">
        <v>154</v>
      </c>
    </row>
    <row r="7" ht="15" customHeight="1" spans="1:16">
      <c r="A7" s="27" t="s">
        <v>160</v>
      </c>
      <c r="B7" s="28" t="s">
        <v>161</v>
      </c>
      <c r="C7" s="242"/>
      <c r="D7" s="29" t="s">
        <v>121</v>
      </c>
      <c r="E7" s="43">
        <f>E8+E10</f>
        <v>0</v>
      </c>
      <c r="F7" s="43">
        <f>F8+F10</f>
        <v>0</v>
      </c>
      <c r="G7" s="43">
        <f>G8+G10</f>
        <v>0</v>
      </c>
      <c r="H7" s="32">
        <f t="shared" ref="H7:H25" si="0">ROUND(IF(F7=0,0,G7/F7-1),10)</f>
        <v>0</v>
      </c>
      <c r="I7" s="125"/>
      <c r="J7" s="32">
        <v>0</v>
      </c>
      <c r="K7" s="125"/>
      <c r="L7" s="125"/>
      <c r="M7" s="125"/>
      <c r="N7" s="43">
        <f>N8+N10</f>
        <v>0</v>
      </c>
      <c r="O7" s="43">
        <f>O8+O10</f>
        <v>0</v>
      </c>
      <c r="P7" s="32">
        <f t="shared" ref="P7:P25" si="1">ROUND(IF(G7=0,0,O7/G7),10)</f>
        <v>0</v>
      </c>
    </row>
    <row r="8" ht="15" customHeight="1" spans="1:16">
      <c r="A8" s="243"/>
      <c r="B8" s="194" t="s">
        <v>189</v>
      </c>
      <c r="C8" s="194" t="s">
        <v>124</v>
      </c>
      <c r="D8" s="29" t="s">
        <v>121</v>
      </c>
      <c r="E8" s="244">
        <v>0</v>
      </c>
      <c r="F8" s="245">
        <v>0</v>
      </c>
      <c r="G8" s="245">
        <v>0</v>
      </c>
      <c r="H8" s="32">
        <f t="shared" si="0"/>
        <v>0</v>
      </c>
      <c r="I8" s="248">
        <v>0</v>
      </c>
      <c r="J8" s="249">
        <v>0</v>
      </c>
      <c r="K8" s="250">
        <f>1-I8</f>
        <v>1</v>
      </c>
      <c r="L8" s="250">
        <f>H8*I8+J8*K8</f>
        <v>0</v>
      </c>
      <c r="M8" s="248">
        <v>0</v>
      </c>
      <c r="N8" s="251">
        <f>ROUND(G8*(1+M8),0)</f>
        <v>0</v>
      </c>
      <c r="O8" s="251">
        <f t="shared" ref="O8:O25" si="2">N8-G8</f>
        <v>0</v>
      </c>
      <c r="P8" s="250">
        <f t="shared" si="1"/>
        <v>0</v>
      </c>
    </row>
    <row r="9" ht="15" customHeight="1" spans="1:16">
      <c r="A9" s="27"/>
      <c r="B9" s="246"/>
      <c r="C9" s="194" t="s">
        <v>125</v>
      </c>
      <c r="D9" s="29" t="s">
        <v>121</v>
      </c>
      <c r="E9" s="33">
        <v>0</v>
      </c>
      <c r="F9" s="34">
        <v>0</v>
      </c>
      <c r="G9" s="34">
        <v>0</v>
      </c>
      <c r="H9" s="32">
        <f t="shared" si="0"/>
        <v>0</v>
      </c>
      <c r="I9" s="125"/>
      <c r="J9" s="32">
        <v>0</v>
      </c>
      <c r="K9" s="125"/>
      <c r="L9" s="125"/>
      <c r="M9" s="125"/>
      <c r="N9" s="43">
        <f>ROUND((G8+N8)/2,0)</f>
        <v>0</v>
      </c>
      <c r="O9" s="43">
        <f t="shared" si="2"/>
        <v>0</v>
      </c>
      <c r="P9" s="32">
        <f t="shared" si="1"/>
        <v>0</v>
      </c>
    </row>
    <row r="10" ht="15" customHeight="1" spans="1:16">
      <c r="A10" s="243"/>
      <c r="B10" s="194" t="s">
        <v>190</v>
      </c>
      <c r="C10" s="194" t="s">
        <v>124</v>
      </c>
      <c r="D10" s="29" t="s">
        <v>121</v>
      </c>
      <c r="E10" s="244">
        <v>0</v>
      </c>
      <c r="F10" s="245">
        <v>0</v>
      </c>
      <c r="G10" s="245">
        <v>0</v>
      </c>
      <c r="H10" s="32">
        <f t="shared" si="0"/>
        <v>0</v>
      </c>
      <c r="I10" s="248">
        <v>0</v>
      </c>
      <c r="J10" s="249">
        <v>0</v>
      </c>
      <c r="K10" s="250">
        <f>1-I10</f>
        <v>1</v>
      </c>
      <c r="L10" s="250">
        <f>H10*I10+J10*K10</f>
        <v>0</v>
      </c>
      <c r="M10" s="248">
        <v>0</v>
      </c>
      <c r="N10" s="251">
        <f>ROUND(G10*(1+M10),0)</f>
        <v>0</v>
      </c>
      <c r="O10" s="251">
        <f t="shared" si="2"/>
        <v>0</v>
      </c>
      <c r="P10" s="250">
        <f t="shared" si="1"/>
        <v>0</v>
      </c>
    </row>
    <row r="11" ht="15" customHeight="1" spans="1:16">
      <c r="A11" s="27"/>
      <c r="B11" s="246"/>
      <c r="C11" s="194" t="s">
        <v>125</v>
      </c>
      <c r="D11" s="29" t="s">
        <v>121</v>
      </c>
      <c r="E11" s="33">
        <v>0</v>
      </c>
      <c r="F11" s="34">
        <v>0</v>
      </c>
      <c r="G11" s="34">
        <v>0</v>
      </c>
      <c r="H11" s="32">
        <f t="shared" si="0"/>
        <v>0</v>
      </c>
      <c r="I11" s="125"/>
      <c r="J11" s="32">
        <v>0</v>
      </c>
      <c r="K11" s="125"/>
      <c r="L11" s="125"/>
      <c r="M11" s="125"/>
      <c r="N11" s="43">
        <f>ROUND((G10+N10)/2,0)</f>
        <v>0</v>
      </c>
      <c r="O11" s="43">
        <f t="shared" si="2"/>
        <v>0</v>
      </c>
      <c r="P11" s="32">
        <f t="shared" si="1"/>
        <v>0</v>
      </c>
    </row>
    <row r="12" ht="15" customHeight="1" spans="1:16">
      <c r="A12" s="27"/>
      <c r="B12" s="194" t="s">
        <v>164</v>
      </c>
      <c r="C12" s="242"/>
      <c r="D12" s="29" t="s">
        <v>121</v>
      </c>
      <c r="E12" s="33">
        <v>0</v>
      </c>
      <c r="F12" s="34">
        <v>0</v>
      </c>
      <c r="G12" s="34">
        <v>0</v>
      </c>
      <c r="H12" s="32">
        <f t="shared" si="0"/>
        <v>0</v>
      </c>
      <c r="I12" s="148">
        <v>0</v>
      </c>
      <c r="J12" s="32">
        <v>0</v>
      </c>
      <c r="K12" s="32">
        <f>1-I12</f>
        <v>1</v>
      </c>
      <c r="L12" s="32">
        <f>H12*I12+J12*K12</f>
        <v>0</v>
      </c>
      <c r="M12" s="148">
        <v>0</v>
      </c>
      <c r="N12" s="43">
        <f>ROUND(G12*(1+M12),0)</f>
        <v>0</v>
      </c>
      <c r="O12" s="43">
        <f t="shared" si="2"/>
        <v>0</v>
      </c>
      <c r="P12" s="32">
        <f t="shared" si="1"/>
        <v>0</v>
      </c>
    </row>
    <row r="13" ht="15" customHeight="1" spans="1:16">
      <c r="A13" s="27"/>
      <c r="B13" s="194" t="s">
        <v>165</v>
      </c>
      <c r="C13" s="242"/>
      <c r="D13" s="29" t="s">
        <v>166</v>
      </c>
      <c r="E13" s="30">
        <v>0</v>
      </c>
      <c r="F13" s="30">
        <v>0</v>
      </c>
      <c r="G13" s="30">
        <v>0</v>
      </c>
      <c r="H13" s="32">
        <f t="shared" si="0"/>
        <v>0</v>
      </c>
      <c r="I13" s="148">
        <v>0</v>
      </c>
      <c r="J13" s="32">
        <v>0</v>
      </c>
      <c r="K13" s="32">
        <f>1-I13</f>
        <v>1</v>
      </c>
      <c r="L13" s="32">
        <f>H13*I13+J13*K13</f>
        <v>0</v>
      </c>
      <c r="M13" s="148">
        <v>0</v>
      </c>
      <c r="N13" s="35">
        <f>G13*(1+M13)</f>
        <v>0</v>
      </c>
      <c r="O13" s="35">
        <f t="shared" si="2"/>
        <v>0</v>
      </c>
      <c r="P13" s="32">
        <f t="shared" si="1"/>
        <v>0</v>
      </c>
    </row>
    <row r="14" ht="15" customHeight="1" spans="1:16">
      <c r="A14" s="27"/>
      <c r="B14" s="194" t="s">
        <v>167</v>
      </c>
      <c r="C14" s="242"/>
      <c r="D14" s="29" t="s">
        <v>166</v>
      </c>
      <c r="E14" s="35">
        <f>ROUND(IF(E12=0,0,E16/E12/12),2)</f>
        <v>0</v>
      </c>
      <c r="F14" s="35">
        <f>ROUND(IF(F12=0,0,F16/F12/12),2)</f>
        <v>0</v>
      </c>
      <c r="G14" s="35">
        <f>ROUND(IF(G12=0,0,G16/G12/12),2)</f>
        <v>0</v>
      </c>
      <c r="H14" s="32">
        <f t="shared" si="0"/>
        <v>0</v>
      </c>
      <c r="I14" s="125"/>
      <c r="J14" s="32">
        <v>0</v>
      </c>
      <c r="K14" s="125"/>
      <c r="L14" s="125"/>
      <c r="M14" s="125"/>
      <c r="N14" s="35">
        <f>ROUND(IF(N12=0,0,N16/N12/12),2)</f>
        <v>0</v>
      </c>
      <c r="O14" s="35">
        <f t="shared" si="2"/>
        <v>0</v>
      </c>
      <c r="P14" s="32">
        <f t="shared" si="1"/>
        <v>0</v>
      </c>
    </row>
    <row r="15" ht="15" customHeight="1" spans="1:16">
      <c r="A15" s="27"/>
      <c r="B15" s="194" t="s">
        <v>168</v>
      </c>
      <c r="C15" s="242"/>
      <c r="D15" s="29" t="s">
        <v>130</v>
      </c>
      <c r="E15" s="32">
        <f>ROUND(IF(E13=0,0,E14/E13),10)</f>
        <v>0</v>
      </c>
      <c r="F15" s="32">
        <f>ROUND(IF(F13=0,0,F14/F13),10)</f>
        <v>0</v>
      </c>
      <c r="G15" s="32">
        <f>ROUND(IF(G13=0,0,G14/G13),10)</f>
        <v>0</v>
      </c>
      <c r="H15" s="32">
        <f t="shared" si="0"/>
        <v>0</v>
      </c>
      <c r="I15" s="125"/>
      <c r="J15" s="32">
        <v>0</v>
      </c>
      <c r="K15" s="125"/>
      <c r="L15" s="125"/>
      <c r="M15" s="125"/>
      <c r="N15" s="32">
        <f>ROUND(IF(N13=0,0,N14/N13),10)</f>
        <v>0</v>
      </c>
      <c r="O15" s="32">
        <f t="shared" si="2"/>
        <v>0</v>
      </c>
      <c r="P15" s="32">
        <f t="shared" si="1"/>
        <v>0</v>
      </c>
    </row>
    <row r="16" ht="15" customHeight="1" spans="1:16">
      <c r="A16" s="27" t="s">
        <v>169</v>
      </c>
      <c r="B16" s="194" t="s">
        <v>191</v>
      </c>
      <c r="C16" s="242"/>
      <c r="D16" s="29" t="s">
        <v>143</v>
      </c>
      <c r="E16" s="31">
        <v>0</v>
      </c>
      <c r="F16" s="31">
        <v>0</v>
      </c>
      <c r="G16" s="31">
        <v>0</v>
      </c>
      <c r="H16" s="32">
        <f t="shared" si="0"/>
        <v>0</v>
      </c>
      <c r="I16" s="148">
        <v>0</v>
      </c>
      <c r="J16" s="32">
        <v>0</v>
      </c>
      <c r="K16" s="32">
        <f>1-I16</f>
        <v>1</v>
      </c>
      <c r="L16" s="32">
        <f>H16*I16+J16*K16</f>
        <v>0</v>
      </c>
      <c r="M16" s="148">
        <v>0</v>
      </c>
      <c r="N16" s="35">
        <f>ROUND(G16*(1+M16),2)</f>
        <v>0</v>
      </c>
      <c r="O16" s="35">
        <f t="shared" si="2"/>
        <v>0</v>
      </c>
      <c r="P16" s="32">
        <f t="shared" si="1"/>
        <v>0</v>
      </c>
    </row>
    <row r="17" ht="15" customHeight="1" spans="1:16">
      <c r="A17" s="27"/>
      <c r="B17" s="194" t="s">
        <v>192</v>
      </c>
      <c r="C17" s="242"/>
      <c r="D17" s="29" t="s">
        <v>130</v>
      </c>
      <c r="E17" s="148">
        <v>0</v>
      </c>
      <c r="F17" s="148">
        <v>0</v>
      </c>
      <c r="G17" s="148">
        <v>0</v>
      </c>
      <c r="H17" s="32">
        <f t="shared" si="0"/>
        <v>0</v>
      </c>
      <c r="I17" s="125"/>
      <c r="J17" s="32">
        <v>0</v>
      </c>
      <c r="K17" s="125"/>
      <c r="L17" s="125"/>
      <c r="M17" s="125"/>
      <c r="N17" s="148">
        <v>0</v>
      </c>
      <c r="O17" s="32">
        <f t="shared" si="2"/>
        <v>0</v>
      </c>
      <c r="P17" s="32">
        <f t="shared" si="1"/>
        <v>0</v>
      </c>
    </row>
    <row r="18" ht="15" customHeight="1" spans="1:16">
      <c r="A18" s="29"/>
      <c r="B18" s="194" t="s">
        <v>193</v>
      </c>
      <c r="C18" s="242"/>
      <c r="D18" s="29" t="s">
        <v>143</v>
      </c>
      <c r="E18" s="35">
        <f>E16*E17</f>
        <v>0</v>
      </c>
      <c r="F18" s="35">
        <f>F16*F17</f>
        <v>0</v>
      </c>
      <c r="G18" s="35">
        <f>G16*G17</f>
        <v>0</v>
      </c>
      <c r="H18" s="32">
        <f t="shared" si="0"/>
        <v>0</v>
      </c>
      <c r="I18" s="199"/>
      <c r="J18" s="203">
        <v>0</v>
      </c>
      <c r="K18" s="199"/>
      <c r="L18" s="199"/>
      <c r="M18" s="199"/>
      <c r="N18" s="35">
        <f>ROUND(ROUND(G16*(1+M16),2)*N17,2)</f>
        <v>0</v>
      </c>
      <c r="O18" s="35">
        <f t="shared" si="2"/>
        <v>0</v>
      </c>
      <c r="P18" s="32">
        <f t="shared" si="1"/>
        <v>0</v>
      </c>
    </row>
    <row r="19" ht="15" customHeight="1" spans="1:16">
      <c r="A19" s="27"/>
      <c r="B19" s="194" t="s">
        <v>194</v>
      </c>
      <c r="C19" s="242"/>
      <c r="D19" s="29" t="s">
        <v>130</v>
      </c>
      <c r="E19" s="148">
        <v>0</v>
      </c>
      <c r="F19" s="148">
        <v>0</v>
      </c>
      <c r="G19" s="148">
        <v>0</v>
      </c>
      <c r="H19" s="32">
        <f t="shared" si="0"/>
        <v>0</v>
      </c>
      <c r="I19" s="125"/>
      <c r="J19" s="32">
        <v>0</v>
      </c>
      <c r="K19" s="125"/>
      <c r="L19" s="125"/>
      <c r="M19" s="125"/>
      <c r="N19" s="148">
        <v>0</v>
      </c>
      <c r="O19" s="32">
        <f t="shared" si="2"/>
        <v>0</v>
      </c>
      <c r="P19" s="32">
        <f t="shared" si="1"/>
        <v>0</v>
      </c>
    </row>
    <row r="20" ht="15" customHeight="1" spans="1:16">
      <c r="A20" s="27" t="s">
        <v>195</v>
      </c>
      <c r="B20" s="194" t="s">
        <v>196</v>
      </c>
      <c r="C20" s="242"/>
      <c r="D20" s="29" t="s">
        <v>143</v>
      </c>
      <c r="E20" s="30">
        <v>0</v>
      </c>
      <c r="F20" s="30">
        <v>0</v>
      </c>
      <c r="G20" s="35">
        <f>ROUND(G18*G19,2)</f>
        <v>0</v>
      </c>
      <c r="H20" s="32">
        <f t="shared" si="0"/>
        <v>0</v>
      </c>
      <c r="I20" s="125"/>
      <c r="J20" s="32">
        <v>0</v>
      </c>
      <c r="K20" s="125"/>
      <c r="L20" s="125"/>
      <c r="M20" s="125"/>
      <c r="N20" s="35">
        <f>ROUND(ROUND(G16*(1+M16),2)*N17*N19,2)</f>
        <v>0</v>
      </c>
      <c r="O20" s="35">
        <f t="shared" si="2"/>
        <v>0</v>
      </c>
      <c r="P20" s="32">
        <f t="shared" si="1"/>
        <v>0</v>
      </c>
    </row>
    <row r="21" ht="15" customHeight="1" spans="1:16">
      <c r="A21" s="27"/>
      <c r="B21" s="194" t="s">
        <v>197</v>
      </c>
      <c r="C21" s="242"/>
      <c r="D21" s="29" t="s">
        <v>143</v>
      </c>
      <c r="E21" s="30">
        <v>0</v>
      </c>
      <c r="F21" s="30">
        <v>0</v>
      </c>
      <c r="G21" s="30">
        <v>0</v>
      </c>
      <c r="H21" s="32">
        <f t="shared" si="0"/>
        <v>0</v>
      </c>
      <c r="I21" s="125"/>
      <c r="J21" s="32">
        <v>0</v>
      </c>
      <c r="K21" s="125"/>
      <c r="L21" s="125"/>
      <c r="M21" s="125"/>
      <c r="N21" s="30">
        <v>0</v>
      </c>
      <c r="O21" s="35">
        <f t="shared" si="2"/>
        <v>0</v>
      </c>
      <c r="P21" s="32">
        <f t="shared" si="1"/>
        <v>0</v>
      </c>
    </row>
    <row r="22" ht="15" customHeight="1" spans="1:16">
      <c r="A22" s="27"/>
      <c r="B22" s="194" t="s">
        <v>198</v>
      </c>
      <c r="C22" s="242"/>
      <c r="D22" s="29" t="s">
        <v>143</v>
      </c>
      <c r="E22" s="37">
        <v>0</v>
      </c>
      <c r="F22" s="37">
        <v>0</v>
      </c>
      <c r="G22" s="30">
        <v>0</v>
      </c>
      <c r="H22" s="32">
        <f t="shared" si="0"/>
        <v>0</v>
      </c>
      <c r="I22" s="199"/>
      <c r="J22" s="32">
        <v>0</v>
      </c>
      <c r="K22" s="125"/>
      <c r="L22" s="199"/>
      <c r="M22" s="199"/>
      <c r="N22" s="30">
        <v>0</v>
      </c>
      <c r="O22" s="35">
        <f t="shared" si="2"/>
        <v>0</v>
      </c>
      <c r="P22" s="32">
        <f t="shared" si="1"/>
        <v>0</v>
      </c>
    </row>
    <row r="23" ht="15" customHeight="1" spans="1:16">
      <c r="A23" s="27"/>
      <c r="B23" s="28" t="s">
        <v>199</v>
      </c>
      <c r="C23" s="242"/>
      <c r="D23" s="29" t="s">
        <v>143</v>
      </c>
      <c r="E23" s="37">
        <v>0</v>
      </c>
      <c r="F23" s="37">
        <v>0</v>
      </c>
      <c r="G23" s="30">
        <v>0</v>
      </c>
      <c r="H23" s="32">
        <f t="shared" si="0"/>
        <v>0</v>
      </c>
      <c r="I23" s="199"/>
      <c r="J23" s="32">
        <v>0</v>
      </c>
      <c r="K23" s="125"/>
      <c r="L23" s="199"/>
      <c r="M23" s="199"/>
      <c r="N23" s="30">
        <v>0</v>
      </c>
      <c r="O23" s="35">
        <f t="shared" si="2"/>
        <v>0</v>
      </c>
      <c r="P23" s="32">
        <f t="shared" si="1"/>
        <v>0</v>
      </c>
    </row>
    <row r="24" ht="15" customHeight="1" spans="1:16">
      <c r="A24" s="27"/>
      <c r="B24" s="28" t="s">
        <v>200</v>
      </c>
      <c r="C24" s="242"/>
      <c r="D24" s="29" t="s">
        <v>143</v>
      </c>
      <c r="E24" s="37">
        <v>0</v>
      </c>
      <c r="F24" s="37">
        <v>0</v>
      </c>
      <c r="G24" s="30">
        <v>0</v>
      </c>
      <c r="H24" s="32">
        <f t="shared" si="0"/>
        <v>0</v>
      </c>
      <c r="I24" s="199"/>
      <c r="J24" s="32">
        <v>0</v>
      </c>
      <c r="K24" s="125"/>
      <c r="L24" s="199"/>
      <c r="M24" s="199"/>
      <c r="N24" s="30">
        <v>0</v>
      </c>
      <c r="O24" s="35">
        <f t="shared" si="2"/>
        <v>0</v>
      </c>
      <c r="P24" s="32">
        <f t="shared" si="1"/>
        <v>0</v>
      </c>
    </row>
    <row r="25" ht="15" customHeight="1" spans="1:16">
      <c r="A25" s="27"/>
      <c r="B25" s="27" t="s">
        <v>201</v>
      </c>
      <c r="C25" s="243"/>
      <c r="D25" s="29" t="s">
        <v>143</v>
      </c>
      <c r="E25" s="35">
        <f>SUM(E20:E24)</f>
        <v>0</v>
      </c>
      <c r="F25" s="35">
        <f>SUM(F20:F24)</f>
        <v>0</v>
      </c>
      <c r="G25" s="35">
        <f>SUM(G20:G24)</f>
        <v>0</v>
      </c>
      <c r="H25" s="32">
        <f t="shared" si="0"/>
        <v>0</v>
      </c>
      <c r="I25" s="199"/>
      <c r="J25" s="32">
        <v>0</v>
      </c>
      <c r="K25" s="125"/>
      <c r="L25" s="199"/>
      <c r="M25" s="199"/>
      <c r="N25" s="35">
        <f>SUM(N20:N24)</f>
        <v>0</v>
      </c>
      <c r="O25" s="35">
        <f t="shared" si="2"/>
        <v>0</v>
      </c>
      <c r="P25" s="32">
        <f t="shared" si="1"/>
        <v>0</v>
      </c>
    </row>
  </sheetData>
  <mergeCells count="35">
    <mergeCell ref="A1:O1"/>
    <mergeCell ref="O3:P3"/>
    <mergeCell ref="A4:B4"/>
    <mergeCell ref="C4:F4"/>
    <mergeCell ref="H4:I4"/>
    <mergeCell ref="O4:P4"/>
    <mergeCell ref="H5:I5"/>
    <mergeCell ref="J5:K5"/>
    <mergeCell ref="L5:M5"/>
    <mergeCell ref="N5:P5"/>
    <mergeCell ref="B7:C7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7:A15"/>
    <mergeCell ref="A16:A19"/>
    <mergeCell ref="A20:A25"/>
    <mergeCell ref="B8:B9"/>
    <mergeCell ref="B10:B11"/>
    <mergeCell ref="D5:D6"/>
    <mergeCell ref="E5:E6"/>
    <mergeCell ref="F5:F6"/>
    <mergeCell ref="G5:G6"/>
    <mergeCell ref="A5:C6"/>
  </mergeCells>
  <printOptions horizontalCentered="1"/>
  <pageMargins left="0.78740157480315" right="0.78740157480315" top="1.18110236220472" bottom="1.18110236220472" header="0.51181" footer="0.51181"/>
  <pageSetup paperSize="9" scale="65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showGridLines="0" zoomScalePageLayoutView="60" workbookViewId="0">
      <pane topLeftCell="D7" activePane="bottomRight" state="frozen"/>
      <selection activeCell="A1" sqref="A1:S1"/>
    </sheetView>
  </sheetViews>
  <sheetFormatPr defaultColWidth="8" defaultRowHeight="14.25"/>
  <cols>
    <col min="1" max="1" width="23.2333333333333" style="1"/>
    <col min="2" max="2" width="5.15833333333333" style="1"/>
    <col min="3" max="3" width="6.88333333333333" style="1"/>
    <col min="4" max="5" width="17.2083333333333" style="1"/>
    <col min="6" max="6" width="16.6333333333333" style="1"/>
    <col min="7" max="8" width="17.2083333333333" style="1"/>
    <col min="9" max="9" width="16.6333333333333" style="1"/>
    <col min="10" max="11" width="17.2083333333333" style="1"/>
    <col min="12" max="12" width="16.6333333333333" style="1"/>
    <col min="13" max="13" width="17.2083333333333" style="1"/>
    <col min="14" max="16" width="16.6333333333333" style="1"/>
    <col min="17" max="19" width="17.2083333333333" style="1"/>
  </cols>
  <sheetData>
    <row r="1" ht="37.5" customHeight="1" spans="1:19">
      <c r="A1" s="97" t="s">
        <v>202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ht="15" customHeight="1" spans="1:19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239" t="s">
        <v>20</v>
      </c>
    </row>
    <row r="3" ht="15" customHeight="1" spans="1:19">
      <c r="A3" s="24" t="s">
        <v>1</v>
      </c>
      <c r="B3" s="25" t="s">
        <v>52</v>
      </c>
      <c r="C3" s="26"/>
      <c r="D3" s="24"/>
      <c r="E3" s="24"/>
      <c r="F3" s="209"/>
      <c r="G3" s="24"/>
      <c r="H3" s="24"/>
      <c r="I3" s="24"/>
      <c r="J3" s="24"/>
      <c r="K3" s="24"/>
      <c r="L3" s="71"/>
      <c r="M3" s="71"/>
      <c r="N3" s="71"/>
      <c r="O3" s="71"/>
      <c r="P3" s="209"/>
      <c r="Q3" s="209"/>
      <c r="R3" s="209"/>
      <c r="S3" s="71" t="s">
        <v>203</v>
      </c>
    </row>
    <row r="4" ht="15" customHeight="1" spans="1:19">
      <c r="A4" s="228" t="s">
        <v>109</v>
      </c>
      <c r="B4" s="229"/>
      <c r="C4" s="229" t="s">
        <v>110</v>
      </c>
      <c r="D4" s="230" t="s">
        <v>132</v>
      </c>
      <c r="E4" s="231"/>
      <c r="F4" s="232"/>
      <c r="G4" s="228" t="s">
        <v>133</v>
      </c>
      <c r="H4" s="228"/>
      <c r="I4" s="228"/>
      <c r="J4" s="228" t="s">
        <v>134</v>
      </c>
      <c r="K4" s="228"/>
      <c r="L4" s="228"/>
      <c r="M4" s="228" t="s">
        <v>112</v>
      </c>
      <c r="N4" s="228"/>
      <c r="O4" s="228"/>
      <c r="P4" s="228"/>
      <c r="Q4" s="228"/>
      <c r="R4" s="228"/>
      <c r="S4" s="228"/>
    </row>
    <row r="5" ht="37.5" customHeight="1" spans="1:19">
      <c r="A5" s="27"/>
      <c r="B5" s="27"/>
      <c r="C5" s="27"/>
      <c r="D5" s="27" t="s">
        <v>135</v>
      </c>
      <c r="E5" s="27" t="s">
        <v>136</v>
      </c>
      <c r="F5" s="27" t="s">
        <v>137</v>
      </c>
      <c r="G5" s="27" t="s">
        <v>135</v>
      </c>
      <c r="H5" s="27" t="s">
        <v>136</v>
      </c>
      <c r="I5" s="27" t="s">
        <v>137</v>
      </c>
      <c r="J5" s="27" t="s">
        <v>135</v>
      </c>
      <c r="K5" s="27" t="s">
        <v>136</v>
      </c>
      <c r="L5" s="27" t="s">
        <v>137</v>
      </c>
      <c r="M5" s="27" t="s">
        <v>135</v>
      </c>
      <c r="N5" s="27" t="s">
        <v>138</v>
      </c>
      <c r="O5" s="27" t="s">
        <v>115</v>
      </c>
      <c r="P5" s="27" t="s">
        <v>139</v>
      </c>
      <c r="Q5" s="27" t="s">
        <v>117</v>
      </c>
      <c r="R5" s="27" t="s">
        <v>118</v>
      </c>
      <c r="S5" s="27" t="s">
        <v>119</v>
      </c>
    </row>
    <row r="6" ht="15" customHeight="1" spans="1:19">
      <c r="A6" s="233" t="s">
        <v>204</v>
      </c>
      <c r="B6" s="206"/>
      <c r="C6" s="10" t="s">
        <v>65</v>
      </c>
      <c r="D6" s="234"/>
      <c r="E6" s="234"/>
      <c r="F6" s="235"/>
      <c r="G6" s="234"/>
      <c r="H6" s="234"/>
      <c r="I6" s="235"/>
      <c r="J6" s="234"/>
      <c r="K6" s="234"/>
      <c r="L6" s="235"/>
      <c r="M6" s="234"/>
      <c r="N6" s="234"/>
      <c r="O6" s="234"/>
      <c r="P6" s="234"/>
      <c r="Q6" s="234"/>
      <c r="R6" s="234"/>
      <c r="S6" s="234"/>
    </row>
    <row r="7" ht="15" customHeight="1" spans="1:19">
      <c r="A7" s="11" t="s">
        <v>205</v>
      </c>
      <c r="B7" s="207"/>
      <c r="C7" s="10" t="s">
        <v>206</v>
      </c>
      <c r="D7" s="33">
        <v>4495</v>
      </c>
      <c r="E7" s="33">
        <v>6070</v>
      </c>
      <c r="F7" s="32">
        <f>IF(E7=0,0,ROUND(D7/E7,10))</f>
        <v>0.7405271829</v>
      </c>
      <c r="G7" s="33">
        <v>5129</v>
      </c>
      <c r="H7" s="33">
        <v>7210</v>
      </c>
      <c r="I7" s="32">
        <f>IF(H7=0,0,ROUND(G7/H7,10))</f>
        <v>0.7113730929</v>
      </c>
      <c r="J7" s="33">
        <v>4852</v>
      </c>
      <c r="K7" s="33">
        <v>6469</v>
      </c>
      <c r="L7" s="32">
        <f>IF(K7=0,0,ROUND(J7/K7,10))</f>
        <v>0.7500386458</v>
      </c>
      <c r="M7" s="33">
        <v>4590</v>
      </c>
      <c r="N7" s="32">
        <f>ROUND((F7+I7+L7)/3,10)</f>
        <v>0.7339796405</v>
      </c>
      <c r="O7" s="148">
        <v>-0.05</v>
      </c>
      <c r="P7" s="32">
        <f>ROUND(N7+O7,10)</f>
        <v>0.6839796405</v>
      </c>
      <c r="Q7" s="43">
        <f>IF(P7=0,0,ROUND(M7/P7,0))</f>
        <v>6711</v>
      </c>
      <c r="R7" s="33">
        <v>6711</v>
      </c>
      <c r="S7" s="43">
        <f>Q7-R7</f>
        <v>0</v>
      </c>
    </row>
    <row r="8" ht="15" customHeight="1" spans="1:19">
      <c r="A8" s="11" t="s">
        <v>207</v>
      </c>
      <c r="B8" s="207"/>
      <c r="C8" s="10" t="s">
        <v>143</v>
      </c>
      <c r="D8" s="30">
        <v>54079699.2</v>
      </c>
      <c r="E8" s="30">
        <v>58747000</v>
      </c>
      <c r="F8" s="32">
        <f>IF(E8=0,0,ROUND(D8/E8,10))</f>
        <v>0.9205525252</v>
      </c>
      <c r="G8" s="30">
        <v>51980278.9</v>
      </c>
      <c r="H8" s="30">
        <v>73265125.2</v>
      </c>
      <c r="I8" s="32">
        <f>IF(H8=0,0,ROUND(G8/H8,10))</f>
        <v>0.7094818818</v>
      </c>
      <c r="J8" s="30">
        <v>48256250.8</v>
      </c>
      <c r="K8" s="30">
        <v>64342666.67</v>
      </c>
      <c r="L8" s="32">
        <f>IF(K8=0,0,ROUND(J8/K8,10))</f>
        <v>0.7499883561</v>
      </c>
      <c r="M8" s="30">
        <v>44799022.89</v>
      </c>
      <c r="N8" s="32">
        <f>ROUND((F8+I8+L8)/3,10)</f>
        <v>0.793340921</v>
      </c>
      <c r="O8" s="148">
        <v>-0.08</v>
      </c>
      <c r="P8" s="32">
        <f>ROUND(N8+O8,10)</f>
        <v>0.713340921</v>
      </c>
      <c r="Q8" s="35">
        <f>IF(P8=0,0,ROUND(M8/P8,2))</f>
        <v>62801700.52</v>
      </c>
      <c r="R8" s="30">
        <v>62801700.52</v>
      </c>
      <c r="S8" s="35">
        <f>Q8-R8</f>
        <v>0</v>
      </c>
    </row>
    <row r="9" ht="15" customHeight="1" spans="1:19">
      <c r="A9" s="11" t="s">
        <v>208</v>
      </c>
      <c r="B9" s="207"/>
      <c r="C9" s="10" t="s">
        <v>143</v>
      </c>
      <c r="D9" s="30">
        <v>35345043.7</v>
      </c>
      <c r="E9" s="30">
        <v>43734431.53</v>
      </c>
      <c r="F9" s="32">
        <f>IF(E9=0,0,ROUND(D9/E9,10))</f>
        <v>0.8081743026</v>
      </c>
      <c r="G9" s="30">
        <v>35825800.8</v>
      </c>
      <c r="H9" s="30">
        <v>50403649.65</v>
      </c>
      <c r="I9" s="32">
        <f>IF(H9=0,0,ROUND(G9/H9,10))</f>
        <v>0.7107779109</v>
      </c>
      <c r="J9" s="30">
        <v>26944878.99</v>
      </c>
      <c r="K9" s="30">
        <v>47594291.43</v>
      </c>
      <c r="L9" s="32">
        <f>IF(K9=0,0,ROUND(J9/K9,10))</f>
        <v>0.566136782</v>
      </c>
      <c r="M9" s="30">
        <v>29758513.55</v>
      </c>
      <c r="N9" s="32">
        <f>ROUND((F9+I9+L9)/3,10)</f>
        <v>0.6950296652</v>
      </c>
      <c r="O9" s="148">
        <v>-0.08</v>
      </c>
      <c r="P9" s="32">
        <f>ROUND(N9+O9,10)</f>
        <v>0.6150296652</v>
      </c>
      <c r="Q9" s="35">
        <f>IF(P9=0,0,ROUND(M9/P9,2))</f>
        <v>48385492.98</v>
      </c>
      <c r="R9" s="30">
        <v>48150623.22</v>
      </c>
      <c r="S9" s="35">
        <f>Q9-R9</f>
        <v>234869.759999998</v>
      </c>
    </row>
    <row r="10" ht="15" customHeight="1" spans="1:19">
      <c r="A10" s="11" t="s">
        <v>209</v>
      </c>
      <c r="B10" s="207"/>
      <c r="C10" s="10" t="s">
        <v>143</v>
      </c>
      <c r="D10" s="30">
        <v>1080671</v>
      </c>
      <c r="E10" s="30">
        <v>770000</v>
      </c>
      <c r="F10" s="32">
        <f>IF(E10=0,0,ROUND(D10/E10,10))</f>
        <v>1.4034688312</v>
      </c>
      <c r="G10" s="30">
        <v>1260278.13</v>
      </c>
      <c r="H10" s="30">
        <v>2926561.03</v>
      </c>
      <c r="I10" s="32">
        <f>IF(H10=0,0,ROUND(G10/H10,10))</f>
        <v>0.4306344946</v>
      </c>
      <c r="J10" s="30">
        <v>4198345.17</v>
      </c>
      <c r="K10" s="30">
        <v>5582303.25</v>
      </c>
      <c r="L10" s="32">
        <f>IF(K10=0,0,ROUND(J10/K10,10))</f>
        <v>0.7520811719</v>
      </c>
      <c r="M10" s="30">
        <v>11020112.46</v>
      </c>
      <c r="N10" s="32">
        <f>ROUND((F10+I10+L10)/3,10)</f>
        <v>0.8620614992</v>
      </c>
      <c r="O10" s="148">
        <v>0</v>
      </c>
      <c r="P10" s="32">
        <f>ROUND(N10+O10,10)</f>
        <v>0.8620614992</v>
      </c>
      <c r="Q10" s="35">
        <f>IF(P10=0,0,ROUND(M10/P10,2))</f>
        <v>12783441.17</v>
      </c>
      <c r="R10" s="30">
        <v>12783441.17</v>
      </c>
      <c r="S10" s="35">
        <f>Q10-R10</f>
        <v>0</v>
      </c>
    </row>
    <row r="11" ht="15" customHeight="1" spans="1:19">
      <c r="A11" s="11" t="s">
        <v>210</v>
      </c>
      <c r="B11" s="207"/>
      <c r="C11" s="10" t="s">
        <v>65</v>
      </c>
      <c r="D11" s="234"/>
      <c r="E11" s="234"/>
      <c r="F11" s="236"/>
      <c r="G11" s="234"/>
      <c r="H11" s="234"/>
      <c r="I11" s="236"/>
      <c r="J11" s="234"/>
      <c r="K11" s="234"/>
      <c r="L11" s="236"/>
      <c r="M11" s="234"/>
      <c r="N11" s="236"/>
      <c r="O11" s="236"/>
      <c r="P11" s="236"/>
      <c r="Q11" s="234"/>
      <c r="R11" s="234"/>
      <c r="S11" s="234"/>
    </row>
    <row r="12" ht="15" customHeight="1" spans="1:19">
      <c r="A12" s="11" t="s">
        <v>211</v>
      </c>
      <c r="B12" s="207"/>
      <c r="C12" s="10" t="s">
        <v>65</v>
      </c>
      <c r="D12" s="234"/>
      <c r="E12" s="234"/>
      <c r="F12" s="236"/>
      <c r="G12" s="234"/>
      <c r="H12" s="234"/>
      <c r="I12" s="236"/>
      <c r="J12" s="234"/>
      <c r="K12" s="234"/>
      <c r="L12" s="236"/>
      <c r="M12" s="234"/>
      <c r="N12" s="236"/>
      <c r="O12" s="236"/>
      <c r="P12" s="236"/>
      <c r="Q12" s="234"/>
      <c r="R12" s="234"/>
      <c r="S12" s="234"/>
    </row>
    <row r="13" ht="15" customHeight="1" spans="1:19">
      <c r="A13" s="11" t="s">
        <v>212</v>
      </c>
      <c r="B13" s="207"/>
      <c r="C13" s="10" t="s">
        <v>206</v>
      </c>
      <c r="D13" s="33">
        <v>26486</v>
      </c>
      <c r="E13" s="33">
        <v>36825</v>
      </c>
      <c r="F13" s="32">
        <f>IF(E13=0,0,ROUND(D13/E13,10))</f>
        <v>0.719239647</v>
      </c>
      <c r="G13" s="33">
        <v>41580</v>
      </c>
      <c r="H13" s="33">
        <v>56124</v>
      </c>
      <c r="I13" s="32">
        <f>IF(H13=0,0,ROUND(G13/H13,10))</f>
        <v>0.7408595253</v>
      </c>
      <c r="J13" s="33">
        <v>39000</v>
      </c>
      <c r="K13" s="33">
        <v>52020</v>
      </c>
      <c r="L13" s="32">
        <f>IF(K13=0,0,ROUND(J13/K13,10))</f>
        <v>0.7497116494</v>
      </c>
      <c r="M13" s="33">
        <v>36580</v>
      </c>
      <c r="N13" s="32">
        <f>ROUND((F13+I13+L13)/3,10)</f>
        <v>0.7366036072</v>
      </c>
      <c r="O13" s="148">
        <v>-0.02</v>
      </c>
      <c r="P13" s="32">
        <f>ROUND(N13+O13,10)</f>
        <v>0.7166036072</v>
      </c>
      <c r="Q13" s="43">
        <f>IF(P13=0,0,ROUND(M13/P13,0))</f>
        <v>51046</v>
      </c>
      <c r="R13" s="33">
        <v>51046</v>
      </c>
      <c r="S13" s="43">
        <f>Q13-R13</f>
        <v>0</v>
      </c>
    </row>
    <row r="14" ht="15" customHeight="1" spans="1:19">
      <c r="A14" s="11" t="s">
        <v>213</v>
      </c>
      <c r="B14" s="207"/>
      <c r="C14" s="10" t="s">
        <v>143</v>
      </c>
      <c r="D14" s="30">
        <v>39410000</v>
      </c>
      <c r="E14" s="30">
        <v>52830877.51</v>
      </c>
      <c r="F14" s="32">
        <f>IF(E14=0,0,ROUND(D14/E14,10))</f>
        <v>0.7459652737</v>
      </c>
      <c r="G14" s="30">
        <v>7110806.65</v>
      </c>
      <c r="H14" s="30">
        <v>9869760.94</v>
      </c>
      <c r="I14" s="32">
        <f>IF(H14=0,0,ROUND(G14/H14,10))</f>
        <v>0.7204639194</v>
      </c>
      <c r="J14" s="30">
        <v>7461581.7</v>
      </c>
      <c r="K14" s="30">
        <v>9949775.6</v>
      </c>
      <c r="L14" s="32">
        <f>IF(K14=0,0,ROUND(J14/K14,10))</f>
        <v>0.7499246214</v>
      </c>
      <c r="M14" s="30">
        <v>7829659.68</v>
      </c>
      <c r="N14" s="32">
        <f>ROUND((F14+I14+L14)/3,10)</f>
        <v>0.7387846048</v>
      </c>
      <c r="O14" s="148">
        <v>0</v>
      </c>
      <c r="P14" s="32">
        <f>ROUND(N14+O14,10)</f>
        <v>0.7387846048</v>
      </c>
      <c r="Q14" s="35">
        <f>IF(P14=0,0,ROUND(M14/P14,2))</f>
        <v>10598027.66</v>
      </c>
      <c r="R14" s="30">
        <v>10598027.66</v>
      </c>
      <c r="S14" s="35">
        <f>Q14-R14</f>
        <v>0</v>
      </c>
    </row>
    <row r="15" ht="15" customHeight="1" spans="1:19">
      <c r="A15" s="11" t="s">
        <v>214</v>
      </c>
      <c r="B15" s="207"/>
      <c r="C15" s="10" t="s">
        <v>143</v>
      </c>
      <c r="D15" s="30">
        <v>0</v>
      </c>
      <c r="E15" s="30">
        <v>0</v>
      </c>
      <c r="F15" s="32">
        <f>IF(E15=0,0,ROUND(D15/E15,10))</f>
        <v>0</v>
      </c>
      <c r="G15" s="30">
        <v>0</v>
      </c>
      <c r="H15" s="30">
        <v>0</v>
      </c>
      <c r="I15" s="32">
        <f>IF(H15=0,0,ROUND(G15/H15,10))</f>
        <v>0</v>
      </c>
      <c r="J15" s="30">
        <v>0</v>
      </c>
      <c r="K15" s="30">
        <v>0</v>
      </c>
      <c r="L15" s="32">
        <f>IF(K15=0,0,ROUND(J15/K15,10))</f>
        <v>0</v>
      </c>
      <c r="M15" s="30">
        <v>0</v>
      </c>
      <c r="N15" s="32">
        <f>ROUND((F15+I15+L15)/3,10)</f>
        <v>0</v>
      </c>
      <c r="O15" s="148">
        <v>0</v>
      </c>
      <c r="P15" s="32">
        <f>ROUND(N15+O15,10)</f>
        <v>0</v>
      </c>
      <c r="Q15" s="35">
        <f>IF(P15=0,0,ROUND(M15/P15,2))</f>
        <v>0</v>
      </c>
      <c r="R15" s="30">
        <v>0</v>
      </c>
      <c r="S15" s="35">
        <f>Q15-R15</f>
        <v>0</v>
      </c>
    </row>
    <row r="16" ht="15" customHeight="1" spans="1:19">
      <c r="A16" s="11" t="s">
        <v>215</v>
      </c>
      <c r="B16" s="207"/>
      <c r="C16" s="10" t="s">
        <v>143</v>
      </c>
      <c r="D16" s="30">
        <v>2812775</v>
      </c>
      <c r="E16" s="30">
        <v>3183700</v>
      </c>
      <c r="F16" s="32">
        <f>IF(E16=0,0,ROUND(D16/E16,10))</f>
        <v>0.8834924773</v>
      </c>
      <c r="G16" s="30">
        <v>3393246.8</v>
      </c>
      <c r="H16" s="30">
        <v>5365365.38</v>
      </c>
      <c r="I16" s="32">
        <f>IF(H16=0,0,ROUND(G16/H16,10))</f>
        <v>0.6324353627</v>
      </c>
      <c r="J16" s="30">
        <v>7074821.45</v>
      </c>
      <c r="K16" s="30">
        <v>10550586.64</v>
      </c>
      <c r="L16" s="32">
        <f>IF(K16=0,0,ROUND(J16/K16,10))</f>
        <v>0.6705619025</v>
      </c>
      <c r="M16" s="30">
        <v>7371696.68</v>
      </c>
      <c r="N16" s="32">
        <f>ROUND((F16+I16+L16)/3,10)</f>
        <v>0.7288299142</v>
      </c>
      <c r="O16" s="148">
        <v>0</v>
      </c>
      <c r="P16" s="32">
        <f>ROUND(N16+O16,10)</f>
        <v>0.7288299142</v>
      </c>
      <c r="Q16" s="35">
        <f>IF(P16=0,0,ROUND(M16/P16,2))</f>
        <v>10114426.61</v>
      </c>
      <c r="R16" s="30">
        <v>10114426.61</v>
      </c>
      <c r="S16" s="35">
        <f>Q16-R16</f>
        <v>0</v>
      </c>
    </row>
    <row r="17" ht="15" customHeight="1" spans="1:19">
      <c r="A17" s="11" t="s">
        <v>216</v>
      </c>
      <c r="B17" s="11"/>
      <c r="C17" s="10" t="s">
        <v>65</v>
      </c>
      <c r="D17" s="234"/>
      <c r="E17" s="234"/>
      <c r="F17" s="236"/>
      <c r="G17" s="234"/>
      <c r="H17" s="234"/>
      <c r="I17" s="236"/>
      <c r="J17" s="234"/>
      <c r="K17" s="234"/>
      <c r="L17" s="236"/>
      <c r="M17" s="234"/>
      <c r="N17" s="236"/>
      <c r="O17" s="236"/>
      <c r="P17" s="236"/>
      <c r="Q17" s="234"/>
      <c r="R17" s="234"/>
      <c r="S17" s="234"/>
    </row>
    <row r="18" ht="15" customHeight="1" spans="1:19">
      <c r="A18" s="11" t="s">
        <v>217</v>
      </c>
      <c r="B18" s="207"/>
      <c r="C18" s="10" t="s">
        <v>206</v>
      </c>
      <c r="D18" s="33">
        <v>25050</v>
      </c>
      <c r="E18" s="33">
        <v>33454</v>
      </c>
      <c r="F18" s="32">
        <f>IF(E18=0,0,ROUND(D18/E18,10))</f>
        <v>0.7487893824</v>
      </c>
      <c r="G18" s="33">
        <v>22310</v>
      </c>
      <c r="H18" s="33">
        <v>32093</v>
      </c>
      <c r="I18" s="32">
        <f>IF(H18=0,0,ROUND(G18/H18,10))</f>
        <v>0.6951671704</v>
      </c>
      <c r="J18" s="33">
        <v>23502</v>
      </c>
      <c r="K18" s="33">
        <v>31536</v>
      </c>
      <c r="L18" s="32">
        <f>IF(K18=0,0,ROUND(J18/K18,10))</f>
        <v>0.7452435312</v>
      </c>
      <c r="M18" s="33">
        <v>24757</v>
      </c>
      <c r="N18" s="32">
        <f>ROUND((F18+I18+L18)/3,10)</f>
        <v>0.7297333613</v>
      </c>
      <c r="O18" s="148">
        <v>-0.01</v>
      </c>
      <c r="P18" s="32">
        <f>ROUND(N18+O18,10)</f>
        <v>0.7197333613</v>
      </c>
      <c r="Q18" s="43">
        <f>IF(P18=0,0,ROUND(M18/P18,0))</f>
        <v>34397</v>
      </c>
      <c r="R18" s="33">
        <v>34397</v>
      </c>
      <c r="S18" s="43">
        <f>Q18-R18</f>
        <v>0</v>
      </c>
    </row>
    <row r="19" ht="15" customHeight="1" spans="1:19">
      <c r="A19" s="11" t="s">
        <v>218</v>
      </c>
      <c r="B19" s="207"/>
      <c r="C19" s="10" t="s">
        <v>143</v>
      </c>
      <c r="D19" s="30">
        <v>13100000</v>
      </c>
      <c r="E19" s="30">
        <v>18354390.88</v>
      </c>
      <c r="F19" s="32">
        <f>IF(E19=0,0,ROUND(D19/E19,10))</f>
        <v>0.7137256739</v>
      </c>
      <c r="G19" s="30">
        <v>18937775.2</v>
      </c>
      <c r="H19" s="30">
        <v>31711411.3</v>
      </c>
      <c r="I19" s="32">
        <f>IF(H19=0,0,ROUND(G19/H19,10))</f>
        <v>0.5971911821</v>
      </c>
      <c r="J19" s="30">
        <v>20498429.2</v>
      </c>
      <c r="K19" s="30">
        <v>27331438.93</v>
      </c>
      <c r="L19" s="32">
        <f>IF(K19=0,0,ROUND(J19/K19,10))</f>
        <v>0.7499945119</v>
      </c>
      <c r="M19" s="30">
        <v>15294618.95</v>
      </c>
      <c r="N19" s="32">
        <f>ROUND((F19+I19+L19)/3,10)</f>
        <v>0.686970456</v>
      </c>
      <c r="O19" s="148">
        <v>-0.13</v>
      </c>
      <c r="P19" s="32">
        <f>ROUND(N19+O19,10)</f>
        <v>0.556970456</v>
      </c>
      <c r="Q19" s="35">
        <f>IF(P19=0,0,ROUND(M19/P19,2))</f>
        <v>27460377.45</v>
      </c>
      <c r="R19" s="30">
        <v>22263867.12</v>
      </c>
      <c r="S19" s="35">
        <f>Q19-R19</f>
        <v>5196510.33</v>
      </c>
    </row>
    <row r="20" ht="15" customHeight="1" spans="1:19">
      <c r="A20" s="11" t="s">
        <v>214</v>
      </c>
      <c r="B20" s="207"/>
      <c r="C20" s="10" t="s">
        <v>143</v>
      </c>
      <c r="D20" s="30">
        <v>9779000</v>
      </c>
      <c r="E20" s="30">
        <v>14431320.53</v>
      </c>
      <c r="F20" s="32">
        <f>IF(E20=0,0,ROUND(D20/E20,10))</f>
        <v>0.6776233665</v>
      </c>
      <c r="G20" s="30">
        <v>11219970.5</v>
      </c>
      <c r="H20" s="30">
        <v>20872565.66</v>
      </c>
      <c r="I20" s="32">
        <f>IF(H20=0,0,ROUND(G20/H20,10))</f>
        <v>0.5375463028</v>
      </c>
      <c r="J20" s="30">
        <v>13683429.84</v>
      </c>
      <c r="K20" s="30">
        <v>14146507.64</v>
      </c>
      <c r="L20" s="32">
        <f>IF(K20=0,0,ROUND(J20/K20,10))</f>
        <v>0.9672655745</v>
      </c>
      <c r="M20" s="30">
        <v>9941502.32</v>
      </c>
      <c r="N20" s="32">
        <f>ROUND((F20+I20+L20)/3,10)</f>
        <v>0.7274784146</v>
      </c>
      <c r="O20" s="148">
        <v>-0.13</v>
      </c>
      <c r="P20" s="32">
        <f>ROUND(N20+O20,10)</f>
        <v>0.5974784146</v>
      </c>
      <c r="Q20" s="35">
        <f>IF(P20=0,0,ROUND(M20/P20,2))</f>
        <v>16639098.71</v>
      </c>
      <c r="R20" s="30">
        <v>16639098.71</v>
      </c>
      <c r="S20" s="35">
        <f>Q20-R20</f>
        <v>0</v>
      </c>
    </row>
    <row r="21" ht="15" customHeight="1" spans="1:19">
      <c r="A21" s="11" t="s">
        <v>219</v>
      </c>
      <c r="B21" s="207"/>
      <c r="C21" s="10" t="s">
        <v>143</v>
      </c>
      <c r="D21" s="30">
        <v>1080000</v>
      </c>
      <c r="E21" s="30">
        <v>1654308.87</v>
      </c>
      <c r="F21" s="32">
        <f>IF(E21=0,0,ROUND(D21/E21,10))</f>
        <v>0.6528406029</v>
      </c>
      <c r="G21" s="30">
        <v>2276984.95</v>
      </c>
      <c r="H21" s="30">
        <v>4827459.38</v>
      </c>
      <c r="I21" s="32">
        <f>IF(H21=0,0,ROUND(G21/H21,10))</f>
        <v>0.4716735597</v>
      </c>
      <c r="J21" s="30">
        <v>2378171.91</v>
      </c>
      <c r="K21" s="30">
        <v>3536759.55</v>
      </c>
      <c r="L21" s="32">
        <f>IF(K21=0,0,ROUND(J21/K21,10))</f>
        <v>0.6724154912</v>
      </c>
      <c r="M21" s="30">
        <v>2466548.74</v>
      </c>
      <c r="N21" s="32">
        <f>ROUND((F21+I21+L21)/3,10)</f>
        <v>0.5989765513</v>
      </c>
      <c r="O21" s="148">
        <v>0</v>
      </c>
      <c r="P21" s="32">
        <f>ROUND(N21+O21,10)</f>
        <v>0.5989765513</v>
      </c>
      <c r="Q21" s="35">
        <f>IF(P21=0,0,ROUND(M21/P21,2))</f>
        <v>4117938.73</v>
      </c>
      <c r="R21" s="30">
        <v>4117938.73</v>
      </c>
      <c r="S21" s="35">
        <f>Q21-R21</f>
        <v>0</v>
      </c>
    </row>
    <row r="22" ht="15" customHeight="1" spans="1:19">
      <c r="A22" s="237" t="s">
        <v>220</v>
      </c>
      <c r="B22" s="238"/>
      <c r="C22" s="10" t="s">
        <v>65</v>
      </c>
      <c r="D22" s="234"/>
      <c r="E22" s="234"/>
      <c r="F22" s="236"/>
      <c r="G22" s="234"/>
      <c r="H22" s="234"/>
      <c r="I22" s="236"/>
      <c r="J22" s="234"/>
      <c r="K22" s="234"/>
      <c r="L22" s="236"/>
      <c r="M22" s="234"/>
      <c r="N22" s="236"/>
      <c r="O22" s="236"/>
      <c r="P22" s="236"/>
      <c r="Q22" s="234"/>
      <c r="R22" s="234"/>
      <c r="S22" s="234"/>
    </row>
    <row r="23" ht="15" customHeight="1" spans="1:19">
      <c r="A23" s="11" t="s">
        <v>221</v>
      </c>
      <c r="B23" s="11"/>
      <c r="C23" s="10" t="s">
        <v>65</v>
      </c>
      <c r="D23" s="234"/>
      <c r="E23" s="234"/>
      <c r="F23" s="236"/>
      <c r="G23" s="234"/>
      <c r="H23" s="234"/>
      <c r="I23" s="236"/>
      <c r="J23" s="234"/>
      <c r="K23" s="234"/>
      <c r="L23" s="236"/>
      <c r="M23" s="234"/>
      <c r="N23" s="236"/>
      <c r="O23" s="236"/>
      <c r="P23" s="236"/>
      <c r="Q23" s="234"/>
      <c r="R23" s="234"/>
      <c r="S23" s="234"/>
    </row>
    <row r="24" ht="15" customHeight="1" spans="1:19">
      <c r="A24" s="11" t="s">
        <v>222</v>
      </c>
      <c r="B24" s="207"/>
      <c r="C24" s="10" t="s">
        <v>206</v>
      </c>
      <c r="D24" s="33">
        <v>176842</v>
      </c>
      <c r="E24" s="33">
        <v>246756</v>
      </c>
      <c r="F24" s="32">
        <f>IF(E24=0,0,ROUND(D24/E24,10))</f>
        <v>0.7166674772</v>
      </c>
      <c r="G24" s="33">
        <v>199429</v>
      </c>
      <c r="H24" s="33">
        <v>271050</v>
      </c>
      <c r="I24" s="32">
        <f>IF(H24=0,0,ROUND(G24/H24,10))</f>
        <v>0.7357646191</v>
      </c>
      <c r="J24" s="33">
        <v>204044</v>
      </c>
      <c r="K24" s="33">
        <v>272159</v>
      </c>
      <c r="L24" s="32">
        <f>IF(K24=0,0,ROUND(J24/K24,10))</f>
        <v>0.7497235072</v>
      </c>
      <c r="M24" s="33">
        <v>208765</v>
      </c>
      <c r="N24" s="32">
        <f>ROUND((F24+I24+L24)/3,10)</f>
        <v>0.7340518678</v>
      </c>
      <c r="O24" s="148">
        <v>0</v>
      </c>
      <c r="P24" s="32">
        <f>ROUND(N24+O24,10)</f>
        <v>0.7340518678</v>
      </c>
      <c r="Q24" s="43">
        <f>IF(P24=0,0,ROUND(M24/P24,0))</f>
        <v>284401</v>
      </c>
      <c r="R24" s="33">
        <v>284401</v>
      </c>
      <c r="S24" s="43">
        <f>Q24-R24</f>
        <v>0</v>
      </c>
    </row>
    <row r="25" ht="15" customHeight="1" spans="1:19">
      <c r="A25" s="11" t="s">
        <v>223</v>
      </c>
      <c r="B25" s="207"/>
      <c r="C25" s="10" t="s">
        <v>143</v>
      </c>
      <c r="D25" s="30">
        <v>20560000</v>
      </c>
      <c r="E25" s="30">
        <v>35671944.76</v>
      </c>
      <c r="F25" s="32">
        <f>IF(E25=0,0,ROUND(D25/E25,10))</f>
        <v>0.5763633056</v>
      </c>
      <c r="G25" s="30">
        <v>31136923.38</v>
      </c>
      <c r="H25" s="30">
        <v>35975650.1</v>
      </c>
      <c r="I25" s="32">
        <f>IF(H25=0,0,ROUND(G25/H25,10))</f>
        <v>0.8654999505</v>
      </c>
      <c r="J25" s="30">
        <v>20374992.2</v>
      </c>
      <c r="K25" s="30">
        <v>27166856.26</v>
      </c>
      <c r="L25" s="32">
        <f>IF(K25=0,0,ROUND(J25/K25,10))</f>
        <v>0.7499944788</v>
      </c>
      <c r="M25" s="30">
        <v>18332733.84</v>
      </c>
      <c r="N25" s="32">
        <f>ROUND((F25+I25+L25)/3,10)</f>
        <v>0.730619245</v>
      </c>
      <c r="O25" s="148">
        <v>0</v>
      </c>
      <c r="P25" s="32">
        <f>ROUND(N25+O25,10)</f>
        <v>0.730619245</v>
      </c>
      <c r="Q25" s="35">
        <f>IF(P25=0,0,ROUND(M25/P25,2))</f>
        <v>25092048.92</v>
      </c>
      <c r="R25" s="30">
        <v>25092048.92</v>
      </c>
      <c r="S25" s="35">
        <f>Q25-R25</f>
        <v>0</v>
      </c>
    </row>
    <row r="26" ht="15" customHeight="1" spans="1:19">
      <c r="A26" s="11" t="s">
        <v>224</v>
      </c>
      <c r="B26" s="207"/>
      <c r="C26" s="10" t="s">
        <v>143</v>
      </c>
      <c r="D26" s="30">
        <v>20300000</v>
      </c>
      <c r="E26" s="30">
        <v>32104750.29</v>
      </c>
      <c r="F26" s="32">
        <f>IF(E26=0,0,ROUND(D26/E26,10))</f>
        <v>0.6323051828</v>
      </c>
      <c r="G26" s="30">
        <v>24909538.71</v>
      </c>
      <c r="H26" s="30">
        <v>31492574.51</v>
      </c>
      <c r="I26" s="32">
        <f>IF(H26=0,0,ROUND(G26/H26,10))</f>
        <v>0.7909654608</v>
      </c>
      <c r="J26" s="30">
        <v>15232826.5</v>
      </c>
      <c r="K26" s="30">
        <v>22727784.3</v>
      </c>
      <c r="L26" s="32">
        <f>IF(K26=0,0,ROUND(J26/K26,10))</f>
        <v>0.6702292797</v>
      </c>
      <c r="M26" s="30">
        <v>15875350.63</v>
      </c>
      <c r="N26" s="32">
        <f>ROUND((F26+I26+L26)/3,10)</f>
        <v>0.6978333078</v>
      </c>
      <c r="O26" s="148">
        <v>0</v>
      </c>
      <c r="P26" s="32">
        <f>ROUND(N26+O26,10)</f>
        <v>0.6978333078</v>
      </c>
      <c r="Q26" s="35">
        <f>IF(P26=0,0,ROUND(M26/P26,2))</f>
        <v>22749488.24</v>
      </c>
      <c r="R26" s="30">
        <v>22749488.24</v>
      </c>
      <c r="S26" s="35">
        <f>Q26-R26</f>
        <v>0</v>
      </c>
    </row>
    <row r="27" ht="15" customHeight="1" spans="1:19">
      <c r="A27" s="11" t="s">
        <v>225</v>
      </c>
      <c r="B27" s="207"/>
      <c r="C27" s="10" t="s">
        <v>143</v>
      </c>
      <c r="D27" s="30">
        <v>0</v>
      </c>
      <c r="E27" s="30">
        <v>0</v>
      </c>
      <c r="F27" s="32">
        <f>IF(E27=0,0,ROUND(D27/E27,10))</f>
        <v>0</v>
      </c>
      <c r="G27" s="30">
        <v>0</v>
      </c>
      <c r="H27" s="30">
        <v>0</v>
      </c>
      <c r="I27" s="32">
        <f>IF(H27=0,0,ROUND(G27/H27,10))</f>
        <v>0</v>
      </c>
      <c r="J27" s="30">
        <v>0</v>
      </c>
      <c r="K27" s="30">
        <v>0</v>
      </c>
      <c r="L27" s="32">
        <f>IF(K27=0,0,ROUND(J27/K27,10))</f>
        <v>0</v>
      </c>
      <c r="M27" s="30">
        <v>0</v>
      </c>
      <c r="N27" s="32">
        <f>ROUND((F27+I27+L27)/3,10)</f>
        <v>0</v>
      </c>
      <c r="O27" s="148">
        <v>0</v>
      </c>
      <c r="P27" s="32">
        <f>ROUND(N27+O27,10)</f>
        <v>0</v>
      </c>
      <c r="Q27" s="35">
        <f>IF(P27=0,0,ROUND(M27/P27,2))</f>
        <v>0</v>
      </c>
      <c r="R27" s="30">
        <v>0</v>
      </c>
      <c r="S27" s="35">
        <f>Q27-R27</f>
        <v>0</v>
      </c>
    </row>
  </sheetData>
  <mergeCells count="30">
    <mergeCell ref="A1:S1"/>
    <mergeCell ref="B3:E3"/>
    <mergeCell ref="D4:F4"/>
    <mergeCell ref="G4:I4"/>
    <mergeCell ref="J4:L4"/>
    <mergeCell ref="M4:S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C4:C5"/>
    <mergeCell ref="A4:B5"/>
  </mergeCells>
  <printOptions horizontalCentered="1"/>
  <pageMargins left="1.18110236220472" right="1.18110236220472" top="1.18110236220472" bottom="1.18110236220472" header="0.51181" footer="0.51181"/>
  <pageSetup paperSize="9" scale="45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showGridLines="0" zoomScalePageLayoutView="60" workbookViewId="0">
      <pane topLeftCell="D6" activePane="bottomRight" state="frozen"/>
      <selection activeCell="A1" sqref="A1:O1"/>
    </sheetView>
  </sheetViews>
  <sheetFormatPr defaultColWidth="8" defaultRowHeight="14.25"/>
  <cols>
    <col min="1" max="1" width="24.525" style="1"/>
    <col min="2" max="2" width="13.3333333333333" style="1"/>
    <col min="3" max="3" width="7.31666666666667" style="1"/>
    <col min="4" max="6" width="18.2083333333333" style="1"/>
    <col min="7" max="12" width="16.6333333333333" style="1"/>
    <col min="13" max="14" width="18.2083333333333" style="1"/>
    <col min="15" max="15" width="16.6333333333333" style="1"/>
  </cols>
  <sheetData>
    <row r="1" ht="39" customHeight="1" spans="1:15">
      <c r="A1" s="97" t="s">
        <v>226</v>
      </c>
      <c r="B1" s="184"/>
      <c r="C1" s="97"/>
      <c r="D1" s="97"/>
      <c r="E1" s="97"/>
      <c r="F1" s="184"/>
      <c r="G1" s="97"/>
      <c r="H1" s="97"/>
      <c r="I1" s="97"/>
      <c r="J1" s="97"/>
      <c r="K1" s="184"/>
      <c r="L1" s="97"/>
      <c r="M1" s="97"/>
      <c r="N1" s="97"/>
      <c r="O1" s="97"/>
    </row>
    <row r="2" ht="18" customHeight="1" spans="1:15">
      <c r="A2" s="85"/>
      <c r="B2" s="85"/>
      <c r="C2" s="210"/>
      <c r="D2" s="85"/>
      <c r="E2" s="85"/>
      <c r="F2" s="85"/>
      <c r="G2" s="85"/>
      <c r="H2" s="85"/>
      <c r="I2" s="85"/>
      <c r="J2" s="85"/>
      <c r="K2" s="85"/>
      <c r="L2" s="85"/>
      <c r="M2" s="85"/>
      <c r="N2" s="107" t="s">
        <v>22</v>
      </c>
      <c r="O2" s="107"/>
    </row>
    <row r="3" ht="16.5" customHeight="1" spans="1:15">
      <c r="A3" s="49" t="s">
        <v>1</v>
      </c>
      <c r="B3" s="99" t="s">
        <v>52</v>
      </c>
      <c r="C3" s="51"/>
      <c r="D3" s="49"/>
      <c r="E3" s="49"/>
      <c r="F3" s="51"/>
      <c r="G3" s="99" t="s">
        <v>53</v>
      </c>
      <c r="H3" s="49"/>
      <c r="I3" s="49"/>
      <c r="J3" s="49"/>
      <c r="K3" s="51"/>
      <c r="L3" s="67"/>
      <c r="M3" s="67"/>
      <c r="N3" s="67"/>
      <c r="O3" s="67" t="s">
        <v>74</v>
      </c>
    </row>
    <row r="4" ht="16.5" customHeight="1" spans="1:15">
      <c r="A4" s="62" t="s">
        <v>148</v>
      </c>
      <c r="B4" s="62"/>
      <c r="C4" s="62" t="s">
        <v>110</v>
      </c>
      <c r="D4" s="62" t="s">
        <v>149</v>
      </c>
      <c r="E4" s="62" t="s">
        <v>150</v>
      </c>
      <c r="F4" s="62" t="s">
        <v>75</v>
      </c>
      <c r="G4" s="62" t="s">
        <v>151</v>
      </c>
      <c r="H4" s="62"/>
      <c r="I4" s="62" t="s">
        <v>152</v>
      </c>
      <c r="J4" s="62"/>
      <c r="K4" s="62" t="s">
        <v>153</v>
      </c>
      <c r="L4" s="62"/>
      <c r="M4" s="62" t="s">
        <v>76</v>
      </c>
      <c r="N4" s="62"/>
      <c r="O4" s="62"/>
    </row>
    <row r="5" ht="42" customHeight="1" spans="1:15">
      <c r="A5" s="62"/>
      <c r="B5" s="62"/>
      <c r="C5" s="62"/>
      <c r="D5" s="62"/>
      <c r="E5" s="62"/>
      <c r="F5" s="62"/>
      <c r="G5" s="62" t="s">
        <v>154</v>
      </c>
      <c r="H5" s="62" t="s">
        <v>155</v>
      </c>
      <c r="I5" s="62" t="s">
        <v>156</v>
      </c>
      <c r="J5" s="62" t="s">
        <v>155</v>
      </c>
      <c r="K5" s="62" t="s">
        <v>157</v>
      </c>
      <c r="L5" s="62" t="s">
        <v>158</v>
      </c>
      <c r="M5" s="62" t="s">
        <v>118</v>
      </c>
      <c r="N5" s="62" t="s">
        <v>159</v>
      </c>
      <c r="O5" s="62" t="s">
        <v>154</v>
      </c>
    </row>
    <row r="6" ht="16.5" customHeight="1" spans="1:15">
      <c r="A6" s="211" t="s">
        <v>204</v>
      </c>
      <c r="B6" s="212"/>
      <c r="C6" s="213" t="s">
        <v>65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ht="16.5" customHeight="1" spans="1:15">
      <c r="A7" s="211" t="s">
        <v>227</v>
      </c>
      <c r="B7" s="212"/>
      <c r="C7" s="213" t="s">
        <v>130</v>
      </c>
      <c r="D7" s="215">
        <v>0.1788186773</v>
      </c>
      <c r="E7" s="215">
        <v>0.1616562961</v>
      </c>
      <c r="F7" s="215">
        <v>0.1599799757</v>
      </c>
      <c r="G7" s="216">
        <v>-0.0103696574</v>
      </c>
      <c r="H7" s="217">
        <v>0</v>
      </c>
      <c r="I7" s="216">
        <v>-0.0364278271</v>
      </c>
      <c r="J7" s="216">
        <v>1</v>
      </c>
      <c r="K7" s="216">
        <v>-0.0364278271</v>
      </c>
      <c r="L7" s="217">
        <v>0.01</v>
      </c>
      <c r="M7" s="216">
        <v>0.1615797755</v>
      </c>
      <c r="N7" s="216">
        <v>0.0015997998</v>
      </c>
      <c r="O7" s="216">
        <v>0.0100000003</v>
      </c>
    </row>
    <row r="8" ht="16.5" customHeight="1" spans="1:15">
      <c r="A8" s="211" t="s">
        <v>228</v>
      </c>
      <c r="B8" s="212"/>
      <c r="C8" s="213" t="s">
        <v>206</v>
      </c>
      <c r="D8" s="215">
        <v>6070</v>
      </c>
      <c r="E8" s="215">
        <v>6469</v>
      </c>
      <c r="F8" s="215">
        <v>6711</v>
      </c>
      <c r="G8" s="216">
        <v>0.0374091823</v>
      </c>
      <c r="H8" s="218"/>
      <c r="I8" s="216">
        <v>0.0340293101</v>
      </c>
      <c r="J8" s="214"/>
      <c r="K8" s="214"/>
      <c r="L8" s="218"/>
      <c r="M8" s="223">
        <v>6894</v>
      </c>
      <c r="N8" s="223">
        <v>183</v>
      </c>
      <c r="O8" s="216">
        <v>0.0272686634</v>
      </c>
    </row>
    <row r="9" ht="16.5" customHeight="1" spans="1:15">
      <c r="A9" s="211" t="s">
        <v>229</v>
      </c>
      <c r="B9" s="212"/>
      <c r="C9" s="213" t="s">
        <v>143</v>
      </c>
      <c r="D9" s="219">
        <v>9678.25</v>
      </c>
      <c r="E9" s="219">
        <v>9946.31</v>
      </c>
      <c r="F9" s="219">
        <v>9358.02</v>
      </c>
      <c r="G9" s="216">
        <v>-0.0591465579</v>
      </c>
      <c r="H9" s="217">
        <v>0</v>
      </c>
      <c r="I9" s="216">
        <v>-0.0111531276</v>
      </c>
      <c r="J9" s="216">
        <v>1</v>
      </c>
      <c r="K9" s="216">
        <v>-0.0111531276</v>
      </c>
      <c r="L9" s="217">
        <v>0.07</v>
      </c>
      <c r="M9" s="219">
        <v>10013.08</v>
      </c>
      <c r="N9" s="219">
        <v>655.06</v>
      </c>
      <c r="O9" s="216">
        <v>0.0699998504</v>
      </c>
    </row>
    <row r="10" ht="16.5" customHeight="1" spans="1:15">
      <c r="A10" s="211" t="s">
        <v>230</v>
      </c>
      <c r="B10" s="212"/>
      <c r="C10" s="213" t="s">
        <v>143</v>
      </c>
      <c r="D10" s="215">
        <v>58747000</v>
      </c>
      <c r="E10" s="215">
        <v>64342666.67</v>
      </c>
      <c r="F10" s="215">
        <v>62801700.52</v>
      </c>
      <c r="G10" s="216">
        <v>-0.0239493672</v>
      </c>
      <c r="H10" s="218"/>
      <c r="I10" s="216">
        <v>0.0224966724</v>
      </c>
      <c r="J10" s="214"/>
      <c r="K10" s="214"/>
      <c r="L10" s="218"/>
      <c r="M10" s="219">
        <v>69030173.52</v>
      </c>
      <c r="N10" s="219">
        <v>6228473</v>
      </c>
      <c r="O10" s="216">
        <v>0.0991768208</v>
      </c>
    </row>
    <row r="11" ht="16.5" customHeight="1" spans="1:15">
      <c r="A11" s="211" t="s">
        <v>208</v>
      </c>
      <c r="B11" s="212"/>
      <c r="C11" s="213" t="s">
        <v>143</v>
      </c>
      <c r="D11" s="215">
        <v>43734431.53</v>
      </c>
      <c r="E11" s="215">
        <v>47594291.43</v>
      </c>
      <c r="F11" s="215">
        <v>48385492.98</v>
      </c>
      <c r="G11" s="216">
        <v>0.016623875</v>
      </c>
      <c r="H11" s="218"/>
      <c r="I11" s="216">
        <v>0.0342619833</v>
      </c>
      <c r="J11" s="214"/>
      <c r="K11" s="214"/>
      <c r="L11" s="218"/>
      <c r="M11" s="219">
        <v>54247896.6</v>
      </c>
      <c r="N11" s="219">
        <v>5862403.62</v>
      </c>
      <c r="O11" s="216">
        <v>0.1211603573</v>
      </c>
    </row>
    <row r="12" ht="16.5" customHeight="1" spans="1:15">
      <c r="A12" s="211" t="s">
        <v>231</v>
      </c>
      <c r="B12" s="212"/>
      <c r="C12" s="213" t="s">
        <v>130</v>
      </c>
      <c r="D12" s="216">
        <v>0.7444538705</v>
      </c>
      <c r="E12" s="216">
        <v>0.7397003247</v>
      </c>
      <c r="F12" s="216">
        <v>0.770448771</v>
      </c>
      <c r="G12" s="216">
        <v>0.0415687884</v>
      </c>
      <c r="H12" s="217">
        <v>0</v>
      </c>
      <c r="I12" s="216">
        <v>0.011506454</v>
      </c>
      <c r="J12" s="216">
        <v>1</v>
      </c>
      <c r="K12" s="216">
        <v>0.011506454</v>
      </c>
      <c r="L12" s="217">
        <v>0.02</v>
      </c>
      <c r="M12" s="216">
        <v>0.7858577464</v>
      </c>
      <c r="N12" s="216">
        <v>0.0154089754</v>
      </c>
      <c r="O12" s="216">
        <v>0.02</v>
      </c>
    </row>
    <row r="13" ht="16.5" customHeight="1" spans="1:15">
      <c r="A13" s="211" t="s">
        <v>232</v>
      </c>
      <c r="B13" s="212"/>
      <c r="C13" s="213" t="s">
        <v>143</v>
      </c>
      <c r="D13" s="215">
        <v>770000</v>
      </c>
      <c r="E13" s="215">
        <v>5582303.25</v>
      </c>
      <c r="F13" s="215">
        <v>12783441.17</v>
      </c>
      <c r="G13" s="216">
        <v>1.2899940396</v>
      </c>
      <c r="H13" s="218"/>
      <c r="I13" s="216">
        <v>1.5510502735</v>
      </c>
      <c r="J13" s="214"/>
      <c r="K13" s="214"/>
      <c r="L13" s="218"/>
      <c r="M13" s="219">
        <v>14753825.34</v>
      </c>
      <c r="N13" s="219">
        <v>1970384.17</v>
      </c>
      <c r="O13" s="216">
        <v>0.1541356622</v>
      </c>
    </row>
    <row r="14" ht="16.5" customHeight="1" spans="1:15">
      <c r="A14" s="211" t="s">
        <v>233</v>
      </c>
      <c r="B14" s="212"/>
      <c r="C14" s="213" t="s">
        <v>130</v>
      </c>
      <c r="D14" s="216">
        <v>0.0131070523</v>
      </c>
      <c r="E14" s="216">
        <v>0.0867589663</v>
      </c>
      <c r="F14" s="216">
        <v>0.2035524686</v>
      </c>
      <c r="G14" s="216">
        <v>1.3461836543</v>
      </c>
      <c r="H14" s="217">
        <v>9.4</v>
      </c>
      <c r="I14" s="216">
        <v>1.494922811</v>
      </c>
      <c r="J14" s="216">
        <v>-8.4</v>
      </c>
      <c r="K14" s="216">
        <v>0.096774738</v>
      </c>
      <c r="L14" s="217">
        <v>0.05</v>
      </c>
      <c r="M14" s="216">
        <v>0.213730092</v>
      </c>
      <c r="N14" s="216">
        <v>0.0101776234</v>
      </c>
      <c r="O14" s="216">
        <v>0.0499999999</v>
      </c>
    </row>
    <row r="15" ht="16.5" customHeight="1" spans="1:15">
      <c r="A15" s="211" t="s">
        <v>210</v>
      </c>
      <c r="B15" s="212"/>
      <c r="C15" s="213" t="s">
        <v>65</v>
      </c>
      <c r="D15" s="214"/>
      <c r="E15" s="214"/>
      <c r="F15" s="214"/>
      <c r="G15" s="214"/>
      <c r="H15" s="218"/>
      <c r="I15" s="218"/>
      <c r="J15" s="214"/>
      <c r="K15" s="214"/>
      <c r="L15" s="218"/>
      <c r="M15" s="214"/>
      <c r="N15" s="214"/>
      <c r="O15" s="214"/>
    </row>
    <row r="16" ht="16.5" customHeight="1" spans="1:15">
      <c r="A16" s="211" t="s">
        <v>211</v>
      </c>
      <c r="B16" s="212"/>
      <c r="C16" s="213" t="s">
        <v>65</v>
      </c>
      <c r="D16" s="214"/>
      <c r="E16" s="214"/>
      <c r="F16" s="214"/>
      <c r="G16" s="214"/>
      <c r="H16" s="218"/>
      <c r="I16" s="218"/>
      <c r="J16" s="214"/>
      <c r="K16" s="214"/>
      <c r="L16" s="218"/>
      <c r="M16" s="214"/>
      <c r="N16" s="214"/>
      <c r="O16" s="214"/>
    </row>
    <row r="17" ht="16.5" customHeight="1" spans="1:15">
      <c r="A17" s="211" t="s">
        <v>234</v>
      </c>
      <c r="B17" s="212"/>
      <c r="C17" s="213" t="s">
        <v>206</v>
      </c>
      <c r="D17" s="215">
        <v>36825</v>
      </c>
      <c r="E17" s="215">
        <v>52020</v>
      </c>
      <c r="F17" s="215">
        <v>51046</v>
      </c>
      <c r="G17" s="216">
        <v>-0.0187235679</v>
      </c>
      <c r="H17" s="217">
        <v>0.15</v>
      </c>
      <c r="I17" s="216">
        <v>0.114995172</v>
      </c>
      <c r="J17" s="216">
        <v>0.85</v>
      </c>
      <c r="K17" s="216">
        <v>0.094937361</v>
      </c>
      <c r="L17" s="217">
        <v>0</v>
      </c>
      <c r="M17" s="223">
        <v>51046</v>
      </c>
      <c r="N17" s="223">
        <v>0</v>
      </c>
      <c r="O17" s="216">
        <v>0</v>
      </c>
    </row>
    <row r="18" ht="16.5" customHeight="1" spans="1:15">
      <c r="A18" s="211" t="s">
        <v>235</v>
      </c>
      <c r="B18" s="212"/>
      <c r="C18" s="213" t="s">
        <v>143</v>
      </c>
      <c r="D18" s="219">
        <v>1434.65</v>
      </c>
      <c r="E18" s="219">
        <v>191.27</v>
      </c>
      <c r="F18" s="219">
        <v>207.62</v>
      </c>
      <c r="G18" s="216">
        <v>0.0854812569</v>
      </c>
      <c r="H18" s="220">
        <v>1.01</v>
      </c>
      <c r="I18" s="225">
        <v>-0.4749817404</v>
      </c>
      <c r="J18" s="216">
        <v>-0.01</v>
      </c>
      <c r="K18" s="216">
        <v>0.0910858869</v>
      </c>
      <c r="L18" s="220">
        <v>0</v>
      </c>
      <c r="M18" s="219">
        <v>207.62</v>
      </c>
      <c r="N18" s="219">
        <v>0</v>
      </c>
      <c r="O18" s="216">
        <v>0</v>
      </c>
    </row>
    <row r="19" ht="16.5" customHeight="1" spans="1:15">
      <c r="A19" s="211" t="s">
        <v>236</v>
      </c>
      <c r="B19" s="212"/>
      <c r="C19" s="213" t="s">
        <v>143</v>
      </c>
      <c r="D19" s="221">
        <v>52830877.51</v>
      </c>
      <c r="E19" s="221">
        <v>9949775.6</v>
      </c>
      <c r="F19" s="215">
        <v>10598027.66</v>
      </c>
      <c r="G19" s="216">
        <v>0.0651524302</v>
      </c>
      <c r="H19" s="222"/>
      <c r="I19" s="225">
        <v>-0.414609404</v>
      </c>
      <c r="J19" s="214"/>
      <c r="K19" s="214"/>
      <c r="L19" s="218"/>
      <c r="M19" s="219">
        <v>10598170.52</v>
      </c>
      <c r="N19" s="219">
        <v>142.86</v>
      </c>
      <c r="O19" s="216">
        <v>1.34799e-5</v>
      </c>
    </row>
    <row r="20" ht="16.5" customHeight="1" spans="1:15">
      <c r="A20" s="211" t="s">
        <v>237</v>
      </c>
      <c r="B20" s="212"/>
      <c r="C20" s="213" t="s">
        <v>143</v>
      </c>
      <c r="D20" s="221">
        <v>0</v>
      </c>
      <c r="E20" s="221">
        <v>0</v>
      </c>
      <c r="F20" s="215">
        <v>0</v>
      </c>
      <c r="G20" s="216">
        <v>0</v>
      </c>
      <c r="H20" s="222"/>
      <c r="I20" s="225">
        <v>0</v>
      </c>
      <c r="J20" s="214"/>
      <c r="K20" s="214"/>
      <c r="L20" s="218"/>
      <c r="M20" s="219">
        <v>0</v>
      </c>
      <c r="N20" s="219">
        <v>0</v>
      </c>
      <c r="O20" s="216">
        <v>0</v>
      </c>
    </row>
    <row r="21" ht="16.5" customHeight="1" spans="1:15">
      <c r="A21" s="211" t="s">
        <v>238</v>
      </c>
      <c r="B21" s="212"/>
      <c r="C21" s="213" t="s">
        <v>130</v>
      </c>
      <c r="D21" s="216">
        <v>0</v>
      </c>
      <c r="E21" s="216">
        <v>0</v>
      </c>
      <c r="F21" s="216">
        <v>0</v>
      </c>
      <c r="G21" s="216">
        <v>0</v>
      </c>
      <c r="H21" s="220">
        <v>0</v>
      </c>
      <c r="I21" s="225">
        <v>0</v>
      </c>
      <c r="J21" s="216">
        <v>1</v>
      </c>
      <c r="K21" s="216">
        <v>0</v>
      </c>
      <c r="L21" s="220">
        <v>0</v>
      </c>
      <c r="M21" s="216">
        <v>0</v>
      </c>
      <c r="N21" s="216">
        <v>0</v>
      </c>
      <c r="O21" s="216">
        <v>0</v>
      </c>
    </row>
    <row r="22" ht="16.5" customHeight="1" spans="1:15">
      <c r="A22" s="211" t="s">
        <v>239</v>
      </c>
      <c r="B22" s="212"/>
      <c r="C22" s="213" t="s">
        <v>143</v>
      </c>
      <c r="D22" s="221">
        <v>3183700</v>
      </c>
      <c r="E22" s="221">
        <v>10550586.64</v>
      </c>
      <c r="F22" s="215">
        <v>10114426.61</v>
      </c>
      <c r="G22" s="216">
        <v>-0.0413398842</v>
      </c>
      <c r="H22" s="222"/>
      <c r="I22" s="225">
        <v>0.4700644546</v>
      </c>
      <c r="J22" s="214"/>
      <c r="K22" s="214"/>
      <c r="L22" s="218"/>
      <c r="M22" s="219">
        <v>10114562.95</v>
      </c>
      <c r="N22" s="219">
        <v>136.34</v>
      </c>
      <c r="O22" s="216">
        <v>1.34798e-5</v>
      </c>
    </row>
    <row r="23" ht="16.5" customHeight="1" spans="1:15">
      <c r="A23" s="211" t="s">
        <v>240</v>
      </c>
      <c r="B23" s="212"/>
      <c r="C23" s="213" t="s">
        <v>130</v>
      </c>
      <c r="D23" s="216">
        <v>0.0602621071</v>
      </c>
      <c r="E23" s="216">
        <v>1.0603843809</v>
      </c>
      <c r="F23" s="216">
        <v>0.9543687688</v>
      </c>
      <c r="G23" s="216">
        <v>-0.0999784739</v>
      </c>
      <c r="H23" s="217">
        <v>1</v>
      </c>
      <c r="I23" s="216">
        <v>1.511253964</v>
      </c>
      <c r="J23" s="216">
        <v>0</v>
      </c>
      <c r="K23" s="216">
        <v>-0.0999784739</v>
      </c>
      <c r="L23" s="217">
        <v>0</v>
      </c>
      <c r="M23" s="216">
        <v>0.9543687688</v>
      </c>
      <c r="N23" s="216">
        <v>0</v>
      </c>
      <c r="O23" s="216">
        <v>0</v>
      </c>
    </row>
    <row r="24" ht="16.5" customHeight="1" spans="1:15">
      <c r="A24" s="211" t="s">
        <v>216</v>
      </c>
      <c r="B24" s="211"/>
      <c r="C24" s="213" t="s">
        <v>65</v>
      </c>
      <c r="D24" s="214"/>
      <c r="E24" s="214"/>
      <c r="F24" s="214"/>
      <c r="G24" s="214"/>
      <c r="H24" s="218"/>
      <c r="I24" s="218"/>
      <c r="J24" s="214"/>
      <c r="K24" s="214"/>
      <c r="L24" s="218"/>
      <c r="M24" s="214"/>
      <c r="N24" s="214"/>
      <c r="O24" s="214"/>
    </row>
    <row r="25" ht="16.5" customHeight="1" spans="1:15">
      <c r="A25" s="211" t="s">
        <v>241</v>
      </c>
      <c r="B25" s="212"/>
      <c r="C25" s="213" t="s">
        <v>206</v>
      </c>
      <c r="D25" s="215">
        <v>33454</v>
      </c>
      <c r="E25" s="215">
        <v>31536</v>
      </c>
      <c r="F25" s="215">
        <v>34397</v>
      </c>
      <c r="G25" s="216">
        <v>0.0907217149</v>
      </c>
      <c r="H25" s="217">
        <v>0</v>
      </c>
      <c r="I25" s="216">
        <v>0.009309059</v>
      </c>
      <c r="J25" s="216">
        <v>1</v>
      </c>
      <c r="K25" s="216">
        <v>0.009309059</v>
      </c>
      <c r="L25" s="217">
        <v>0.08</v>
      </c>
      <c r="M25" s="223">
        <v>37149</v>
      </c>
      <c r="N25" s="223">
        <v>2752</v>
      </c>
      <c r="O25" s="216">
        <v>0.0800069774</v>
      </c>
    </row>
    <row r="26" ht="16.5" customHeight="1" spans="1:15">
      <c r="A26" s="211" t="s">
        <v>235</v>
      </c>
      <c r="B26" s="212"/>
      <c r="C26" s="213" t="s">
        <v>143</v>
      </c>
      <c r="D26" s="219">
        <v>548.65</v>
      </c>
      <c r="E26" s="219">
        <v>866.67</v>
      </c>
      <c r="F26" s="219">
        <v>798.34</v>
      </c>
      <c r="G26" s="216">
        <v>-0.0788420045</v>
      </c>
      <c r="H26" s="217">
        <v>1</v>
      </c>
      <c r="I26" s="216">
        <v>0.1331763502</v>
      </c>
      <c r="J26" s="216">
        <v>0</v>
      </c>
      <c r="K26" s="216">
        <v>-0.0788420045</v>
      </c>
      <c r="L26" s="217">
        <v>0.05</v>
      </c>
      <c r="M26" s="219">
        <v>838.26</v>
      </c>
      <c r="N26" s="219">
        <v>39.92</v>
      </c>
      <c r="O26" s="216">
        <v>0.0500037578</v>
      </c>
    </row>
    <row r="27" ht="16.5" customHeight="1" spans="1:15">
      <c r="A27" s="211" t="s">
        <v>242</v>
      </c>
      <c r="B27" s="212"/>
      <c r="C27" s="213" t="s">
        <v>143</v>
      </c>
      <c r="D27" s="215">
        <v>18354390.88</v>
      </c>
      <c r="E27" s="215">
        <v>27331438.93</v>
      </c>
      <c r="F27" s="215">
        <v>27460377.45</v>
      </c>
      <c r="G27" s="216">
        <v>0.0047175899</v>
      </c>
      <c r="H27" s="218"/>
      <c r="I27" s="216">
        <v>0.1437264779</v>
      </c>
      <c r="J27" s="214"/>
      <c r="K27" s="214"/>
      <c r="L27" s="218"/>
      <c r="M27" s="219">
        <v>31140520.74</v>
      </c>
      <c r="N27" s="219">
        <v>3680143.29</v>
      </c>
      <c r="O27" s="216">
        <v>0.134016486</v>
      </c>
    </row>
    <row r="28" ht="16.5" customHeight="1" spans="1:15">
      <c r="A28" s="211" t="s">
        <v>237</v>
      </c>
      <c r="B28" s="212"/>
      <c r="C28" s="213" t="s">
        <v>143</v>
      </c>
      <c r="D28" s="215">
        <v>14431320.53</v>
      </c>
      <c r="E28" s="215">
        <v>14146507.64</v>
      </c>
      <c r="F28" s="215">
        <v>16639098.71</v>
      </c>
      <c r="G28" s="216">
        <v>0.1761983334</v>
      </c>
      <c r="H28" s="218"/>
      <c r="I28" s="216">
        <v>0.048595304</v>
      </c>
      <c r="J28" s="214"/>
      <c r="K28" s="214"/>
      <c r="L28" s="218"/>
      <c r="M28" s="219">
        <v>18869012.25</v>
      </c>
      <c r="N28" s="219">
        <v>2229913.54</v>
      </c>
      <c r="O28" s="216">
        <v>0.134016486</v>
      </c>
    </row>
    <row r="29" ht="16.5" customHeight="1" spans="1:15">
      <c r="A29" s="211" t="s">
        <v>243</v>
      </c>
      <c r="B29" s="212"/>
      <c r="C29" s="213" t="s">
        <v>130</v>
      </c>
      <c r="D29" s="216">
        <v>0.7862598451</v>
      </c>
      <c r="E29" s="216">
        <v>0.5175910305</v>
      </c>
      <c r="F29" s="216">
        <v>0.6059311727</v>
      </c>
      <c r="G29" s="216">
        <v>0.1706755662</v>
      </c>
      <c r="H29" s="217">
        <v>0</v>
      </c>
      <c r="I29" s="216">
        <v>-0.0831765074</v>
      </c>
      <c r="J29" s="216">
        <v>1</v>
      </c>
      <c r="K29" s="216">
        <v>-0.0831765074</v>
      </c>
      <c r="L29" s="217">
        <v>0</v>
      </c>
      <c r="M29" s="216">
        <v>0.6059311727</v>
      </c>
      <c r="N29" s="216">
        <v>0</v>
      </c>
      <c r="O29" s="216">
        <v>0</v>
      </c>
    </row>
    <row r="30" ht="16.5" customHeight="1" spans="1:15">
      <c r="A30" s="211" t="s">
        <v>239</v>
      </c>
      <c r="B30" s="212"/>
      <c r="C30" s="213" t="s">
        <v>143</v>
      </c>
      <c r="D30" s="215">
        <v>1654308.87</v>
      </c>
      <c r="E30" s="215">
        <v>3536759.55</v>
      </c>
      <c r="F30" s="215">
        <v>4117938.73</v>
      </c>
      <c r="G30" s="216">
        <v>0.1643253299</v>
      </c>
      <c r="H30" s="218"/>
      <c r="I30" s="216">
        <v>0.3552552367</v>
      </c>
      <c r="J30" s="214"/>
      <c r="K30" s="214"/>
      <c r="L30" s="218"/>
      <c r="M30" s="219">
        <v>4903300.93</v>
      </c>
      <c r="N30" s="219">
        <v>785362.2</v>
      </c>
      <c r="O30" s="216">
        <v>0.1907173106</v>
      </c>
    </row>
    <row r="31" ht="16.5" customHeight="1" spans="1:15">
      <c r="A31" s="211" t="s">
        <v>244</v>
      </c>
      <c r="B31" s="212"/>
      <c r="C31" s="213" t="s">
        <v>130</v>
      </c>
      <c r="D31" s="216">
        <v>0.0901315048</v>
      </c>
      <c r="E31" s="216">
        <v>0.1294026106</v>
      </c>
      <c r="F31" s="216">
        <v>0.1499592909</v>
      </c>
      <c r="G31" s="216">
        <v>0.1588583121</v>
      </c>
      <c r="H31" s="217">
        <v>3.5</v>
      </c>
      <c r="I31" s="216">
        <v>0.1849469808</v>
      </c>
      <c r="J31" s="216">
        <v>-2.5</v>
      </c>
      <c r="K31" s="216">
        <v>0.0936366404</v>
      </c>
      <c r="L31" s="217">
        <v>0.05</v>
      </c>
      <c r="M31" s="216">
        <v>0.1574572554</v>
      </c>
      <c r="N31" s="216">
        <v>0.0074979645</v>
      </c>
      <c r="O31" s="216">
        <v>0.0499999997</v>
      </c>
    </row>
    <row r="32" ht="16.5" customHeight="1" spans="1:15">
      <c r="A32" s="211" t="s">
        <v>220</v>
      </c>
      <c r="B32" s="211"/>
      <c r="C32" s="213" t="s">
        <v>65</v>
      </c>
      <c r="D32" s="214"/>
      <c r="E32" s="214"/>
      <c r="F32" s="214"/>
      <c r="G32" s="214"/>
      <c r="H32" s="218"/>
      <c r="I32" s="218"/>
      <c r="J32" s="214"/>
      <c r="K32" s="214"/>
      <c r="L32" s="218"/>
      <c r="M32" s="214"/>
      <c r="N32" s="214"/>
      <c r="O32" s="214"/>
    </row>
    <row r="33" ht="16.5" customHeight="1" spans="1:15">
      <c r="A33" s="211" t="s">
        <v>221</v>
      </c>
      <c r="B33" s="211"/>
      <c r="C33" s="213"/>
      <c r="D33" s="214"/>
      <c r="E33" s="214"/>
      <c r="F33" s="214"/>
      <c r="G33" s="214"/>
      <c r="H33" s="218"/>
      <c r="I33" s="218"/>
      <c r="J33" s="214"/>
      <c r="K33" s="214"/>
      <c r="L33" s="218"/>
      <c r="M33" s="214"/>
      <c r="N33" s="214"/>
      <c r="O33" s="214"/>
    </row>
    <row r="34" ht="16.5" customHeight="1" spans="1:15">
      <c r="A34" s="211" t="s">
        <v>245</v>
      </c>
      <c r="B34" s="212"/>
      <c r="C34" s="213" t="s">
        <v>206</v>
      </c>
      <c r="D34" s="223">
        <v>246756</v>
      </c>
      <c r="E34" s="223">
        <v>272159</v>
      </c>
      <c r="F34" s="223">
        <v>284401</v>
      </c>
      <c r="G34" s="216">
        <v>0.0449810589</v>
      </c>
      <c r="H34" s="217">
        <v>0</v>
      </c>
      <c r="I34" s="216">
        <v>0.0484662759</v>
      </c>
      <c r="J34" s="216">
        <v>1</v>
      </c>
      <c r="K34" s="216">
        <v>0.0484662759</v>
      </c>
      <c r="L34" s="217">
        <v>0</v>
      </c>
      <c r="M34" s="223">
        <v>284401</v>
      </c>
      <c r="N34" s="223">
        <v>0</v>
      </c>
      <c r="O34" s="216">
        <v>0</v>
      </c>
    </row>
    <row r="35" ht="16.5" customHeight="1" spans="1:15">
      <c r="A35" s="211" t="s">
        <v>235</v>
      </c>
      <c r="B35" s="212"/>
      <c r="C35" s="213" t="s">
        <v>143</v>
      </c>
      <c r="D35" s="219">
        <v>144.56</v>
      </c>
      <c r="E35" s="219">
        <v>99.82</v>
      </c>
      <c r="F35" s="219">
        <v>88.23</v>
      </c>
      <c r="G35" s="216">
        <v>-0.1161089962</v>
      </c>
      <c r="H35" s="217">
        <v>1.5</v>
      </c>
      <c r="I35" s="216">
        <v>-0.1517522561</v>
      </c>
      <c r="J35" s="216">
        <v>-0.5</v>
      </c>
      <c r="K35" s="216">
        <v>-0.0982873663</v>
      </c>
      <c r="L35" s="217">
        <v>0</v>
      </c>
      <c r="M35" s="219">
        <v>88.23</v>
      </c>
      <c r="N35" s="219">
        <v>0</v>
      </c>
      <c r="O35" s="216">
        <v>0</v>
      </c>
    </row>
    <row r="36" ht="16.5" customHeight="1" spans="1:15">
      <c r="A36" s="211" t="s">
        <v>246</v>
      </c>
      <c r="B36" s="212"/>
      <c r="C36" s="213" t="s">
        <v>143</v>
      </c>
      <c r="D36" s="215">
        <v>35671944.76</v>
      </c>
      <c r="E36" s="215">
        <v>27166856.26</v>
      </c>
      <c r="F36" s="215">
        <v>25092048.92</v>
      </c>
      <c r="G36" s="216">
        <v>-0.0763727433</v>
      </c>
      <c r="H36" s="218"/>
      <c r="I36" s="216">
        <v>-0.1106559997</v>
      </c>
      <c r="J36" s="214"/>
      <c r="K36" s="214"/>
      <c r="L36" s="218"/>
      <c r="M36" s="219">
        <v>25092700.23</v>
      </c>
      <c r="N36" s="219">
        <v>651.31</v>
      </c>
      <c r="O36" s="216">
        <v>2.59568e-5</v>
      </c>
    </row>
    <row r="37" ht="16.5" customHeight="1" spans="1:15">
      <c r="A37" s="211" t="s">
        <v>247</v>
      </c>
      <c r="B37" s="212"/>
      <c r="C37" s="213" t="s">
        <v>143</v>
      </c>
      <c r="D37" s="215">
        <v>32104750.29</v>
      </c>
      <c r="E37" s="215">
        <v>22727784.3</v>
      </c>
      <c r="F37" s="215">
        <v>22749488.24</v>
      </c>
      <c r="G37" s="216">
        <v>0.0009549519</v>
      </c>
      <c r="H37" s="218"/>
      <c r="I37" s="216">
        <v>-0.1084737979</v>
      </c>
      <c r="J37" s="214"/>
      <c r="K37" s="214"/>
      <c r="L37" s="218"/>
      <c r="M37" s="219">
        <v>22750078.74</v>
      </c>
      <c r="N37" s="219">
        <v>590.5</v>
      </c>
      <c r="O37" s="216">
        <v>2.59566e-5</v>
      </c>
    </row>
    <row r="38" ht="16.5" customHeight="1" spans="1:15">
      <c r="A38" s="211" t="s">
        <v>248</v>
      </c>
      <c r="B38" s="212"/>
      <c r="C38" s="213" t="s">
        <v>130</v>
      </c>
      <c r="D38" s="216">
        <v>0.9000000002</v>
      </c>
      <c r="E38" s="216">
        <v>0.8365997185</v>
      </c>
      <c r="F38" s="216">
        <v>0.9066413154</v>
      </c>
      <c r="G38" s="216">
        <v>0.0837217553</v>
      </c>
      <c r="H38" s="217">
        <v>0</v>
      </c>
      <c r="I38" s="216">
        <v>0.0024537207</v>
      </c>
      <c r="J38" s="216">
        <v>1</v>
      </c>
      <c r="K38" s="216">
        <v>0.0024537207</v>
      </c>
      <c r="L38" s="217">
        <v>0</v>
      </c>
      <c r="M38" s="216">
        <v>0.9066413154</v>
      </c>
      <c r="N38" s="216">
        <v>0</v>
      </c>
      <c r="O38" s="216">
        <v>0</v>
      </c>
    </row>
    <row r="39" ht="16.5" customHeight="1" spans="1:15">
      <c r="A39" s="211" t="s">
        <v>225</v>
      </c>
      <c r="B39" s="212"/>
      <c r="C39" s="213"/>
      <c r="D39" s="215">
        <v>0</v>
      </c>
      <c r="E39" s="215">
        <v>0</v>
      </c>
      <c r="F39" s="215">
        <v>0</v>
      </c>
      <c r="G39" s="216">
        <v>0</v>
      </c>
      <c r="H39" s="217">
        <v>0</v>
      </c>
      <c r="I39" s="216">
        <v>0</v>
      </c>
      <c r="J39" s="216">
        <v>1</v>
      </c>
      <c r="K39" s="216">
        <v>0</v>
      </c>
      <c r="L39" s="217">
        <v>0</v>
      </c>
      <c r="M39" s="219">
        <v>0</v>
      </c>
      <c r="N39" s="219">
        <v>0</v>
      </c>
      <c r="O39" s="216">
        <v>0</v>
      </c>
    </row>
    <row r="40" ht="16.5" customHeight="1" spans="1:15">
      <c r="A40" s="211" t="s">
        <v>249</v>
      </c>
      <c r="B40" s="211"/>
      <c r="C40" s="213" t="s">
        <v>143</v>
      </c>
      <c r="D40" s="214"/>
      <c r="E40" s="214"/>
      <c r="F40" s="214"/>
      <c r="G40" s="214"/>
      <c r="H40" s="218"/>
      <c r="I40" s="218"/>
      <c r="J40" s="214"/>
      <c r="K40" s="214"/>
      <c r="L40" s="218"/>
      <c r="M40" s="219">
        <v>125638676.81</v>
      </c>
      <c r="N40" s="219">
        <v>0</v>
      </c>
      <c r="O40" s="216">
        <v>0</v>
      </c>
    </row>
    <row r="41" ht="16.5" customHeight="1" spans="1:15">
      <c r="A41" s="211" t="s">
        <v>250</v>
      </c>
      <c r="B41" s="212"/>
      <c r="C41" s="213" t="s">
        <v>143</v>
      </c>
      <c r="D41" s="224">
        <v>58683760.93</v>
      </c>
      <c r="E41" s="224">
        <v>61740799.07</v>
      </c>
      <c r="F41" s="219">
        <v>65024591.69</v>
      </c>
      <c r="G41" s="216">
        <v>0.0531867528</v>
      </c>
      <c r="H41" s="217">
        <v>0</v>
      </c>
      <c r="I41" s="216">
        <v>0.0347924027</v>
      </c>
      <c r="J41" s="216">
        <v>1</v>
      </c>
      <c r="K41" s="216">
        <v>0.0347924027</v>
      </c>
      <c r="L41" s="217">
        <v>0</v>
      </c>
      <c r="M41" s="219">
        <v>73116908.85</v>
      </c>
      <c r="N41" s="219">
        <v>8092317.16</v>
      </c>
      <c r="O41" s="216">
        <v>0.1244501034</v>
      </c>
    </row>
    <row r="42" ht="16.5" customHeight="1" spans="1:15">
      <c r="A42" s="211" t="s">
        <v>251</v>
      </c>
      <c r="B42" s="212"/>
      <c r="C42" s="213" t="s">
        <v>143</v>
      </c>
      <c r="D42" s="224">
        <v>37194750.29</v>
      </c>
      <c r="E42" s="224">
        <v>42397433.74</v>
      </c>
      <c r="F42" s="219">
        <v>49765294.75</v>
      </c>
      <c r="G42" s="216">
        <v>0.1737808249</v>
      </c>
      <c r="H42" s="217">
        <v>-0.1</v>
      </c>
      <c r="I42" s="216">
        <v>0.1019155482</v>
      </c>
      <c r="J42" s="226">
        <v>1.1</v>
      </c>
      <c r="K42" s="226">
        <v>0.094729</v>
      </c>
      <c r="L42" s="227">
        <v>0</v>
      </c>
      <c r="M42" s="219">
        <v>52521767.96</v>
      </c>
      <c r="N42" s="219">
        <v>2756473.21</v>
      </c>
      <c r="O42" s="226">
        <v>0.055389</v>
      </c>
    </row>
  </sheetData>
  <mergeCells count="50">
    <mergeCell ref="A1:O1"/>
    <mergeCell ref="N2:O2"/>
    <mergeCell ref="B3:E3"/>
    <mergeCell ref="G3:H3"/>
    <mergeCell ref="G4:H4"/>
    <mergeCell ref="I4:J4"/>
    <mergeCell ref="K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C4:C5"/>
    <mergeCell ref="D4:D5"/>
    <mergeCell ref="E4:E5"/>
    <mergeCell ref="F4:F5"/>
    <mergeCell ref="A4:B5"/>
  </mergeCells>
  <pageMargins left="1.18110236220472" right="1.18110236220472" top="1.18110236220472" bottom="1.18110236220472" header="0.51181" footer="0.51181"/>
  <pageSetup paperSize="9" scale="30" orientation="portrait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封面2022ys</vt:lpstr>
      <vt:lpstr>目录2022ys</vt:lpstr>
      <vt:lpstr>2022ys01</vt:lpstr>
      <vt:lpstr>2022ys02</vt:lpstr>
      <vt:lpstr>2022ys03</vt:lpstr>
      <vt:lpstr>2022ys04</vt:lpstr>
      <vt:lpstr>2022ys05</vt:lpstr>
      <vt:lpstr>2022ys06</vt:lpstr>
      <vt:lpstr>2022ys07</vt:lpstr>
      <vt:lpstr>2022ys08</vt:lpstr>
      <vt:lpstr>2022ys09</vt:lpstr>
      <vt:lpstr>2022ys10</vt:lpstr>
      <vt:lpstr>2022ys11</vt:lpstr>
      <vt:lpstr>2022ys12</vt:lpstr>
      <vt:lpstr>2022ys13</vt:lpstr>
      <vt:lpstr>2022ys14</vt:lpstr>
      <vt:lpstr>2022ys15</vt:lpstr>
      <vt:lpstr>2022ys16</vt:lpstr>
      <vt:lpstr>2022ys17</vt:lpstr>
      <vt:lpstr>2022ys18</vt:lpstr>
      <vt:lpstr>2022ys19</vt:lpstr>
      <vt:lpstr>2022ys20</vt:lpstr>
      <vt:lpstr>2022ys21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で放肆的溫柔</cp:lastModifiedBy>
  <dcterms:created xsi:type="dcterms:W3CDTF">2021-12-17T11:14:00Z</dcterms:created>
  <dcterms:modified xsi:type="dcterms:W3CDTF">2022-06-28T03:31:52Z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DFD01DB5D5894678B8A84B90C050A8EF</vt:lpwstr>
  </property>
  <property fmtid="{D5CDD505-2E9C-101B-9397-08002B2CF9AE}" pid="3" name="KSOProductBuildVer">
    <vt:lpwstr>2052-11.1.0.11830</vt:lpwstr>
  </property>
</Properties>
</file>